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 2020\LMDA\2022\"/>
    </mc:Choice>
  </mc:AlternateContent>
  <xr:revisionPtr revIDLastSave="0" documentId="13_ncr:1_{0B6057A4-D644-401B-82C4-44F74C15F363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Mini kids" sheetId="5" r:id="rId1"/>
    <sheet name="Children female" sheetId="1" r:id="rId2"/>
    <sheet name="Children male" sheetId="2" r:id="rId3"/>
    <sheet name="Juniors female" sheetId="3" r:id="rId4"/>
    <sheet name="Juniors male" sheetId="4" r:id="rId5"/>
    <sheet name="Adults female" sheetId="6" r:id="rId6"/>
    <sheet name="Adults male" sheetId="8" r:id="rId7"/>
  </sheets>
  <definedNames>
    <definedName name="_xlnm._FilterDatabase" localSheetId="5" hidden="1">'Adults female'!$B$1:$B$202</definedName>
    <definedName name="_xlnm._FilterDatabase" localSheetId="1" hidden="1">'Children female'!$B$1:$B$362</definedName>
    <definedName name="_xlnm._FilterDatabase" localSheetId="3" hidden="1">'Juniors female'!$B$1:$B$414</definedName>
    <definedName name="_xlnm._FilterDatabase" localSheetId="0" hidden="1">'Mini kids'!$B$1:$B$36</definedName>
  </definedNames>
  <calcPr calcId="181029"/>
</workbook>
</file>

<file path=xl/calcChain.xml><?xml version="1.0" encoding="utf-8"?>
<calcChain xmlns="http://schemas.openxmlformats.org/spreadsheetml/2006/main">
  <c r="E26" i="8" l="1"/>
  <c r="D26" i="8"/>
  <c r="E387" i="3"/>
  <c r="D387" i="3" s="1"/>
  <c r="E209" i="6"/>
  <c r="E203" i="6"/>
  <c r="D203" i="6"/>
  <c r="G349" i="3"/>
  <c r="E349" i="3"/>
  <c r="E434" i="3"/>
  <c r="D434" i="3" s="1"/>
  <c r="E204" i="6"/>
  <c r="E205" i="6"/>
  <c r="E212" i="6"/>
  <c r="G428" i="3"/>
  <c r="E428" i="3"/>
  <c r="D353" i="3"/>
  <c r="E375" i="3"/>
  <c r="D375" i="3" s="1"/>
  <c r="G375" i="3"/>
  <c r="G353" i="3"/>
  <c r="E353" i="3"/>
  <c r="E210" i="6"/>
  <c r="D19" i="8"/>
  <c r="D22" i="8"/>
  <c r="E22" i="8"/>
  <c r="E19" i="8"/>
  <c r="E215" i="6"/>
  <c r="G404" i="3"/>
  <c r="E404" i="3"/>
  <c r="D404" i="3" s="1"/>
  <c r="E91" i="6"/>
  <c r="E213" i="6"/>
  <c r="E21" i="8"/>
  <c r="D21" i="8" s="1"/>
  <c r="G317" i="3"/>
  <c r="E89" i="6"/>
  <c r="Q204" i="6"/>
  <c r="Q207" i="6"/>
  <c r="R207" i="6" s="1"/>
  <c r="D207" i="6" s="1"/>
  <c r="Q211" i="6"/>
  <c r="R211" i="6" s="1"/>
  <c r="Q214" i="6"/>
  <c r="R214" i="6" s="1"/>
  <c r="D214" i="6" s="1"/>
  <c r="Q216" i="6"/>
  <c r="R216" i="6" s="1"/>
  <c r="D216" i="6" s="1"/>
  <c r="Q217" i="6"/>
  <c r="R217" i="6" s="1"/>
  <c r="Q208" i="6"/>
  <c r="Q213" i="6"/>
  <c r="R213" i="6" s="1"/>
  <c r="Q215" i="6"/>
  <c r="R215" i="6" s="1"/>
  <c r="D215" i="6" s="1"/>
  <c r="Q210" i="6"/>
  <c r="R210" i="6" s="1"/>
  <c r="Q212" i="6"/>
  <c r="R212" i="6" s="1"/>
  <c r="Q205" i="6"/>
  <c r="R205" i="6" s="1"/>
  <c r="Q209" i="6"/>
  <c r="R209" i="6" s="1"/>
  <c r="Q218" i="6"/>
  <c r="R218" i="6" s="1"/>
  <c r="Q219" i="6"/>
  <c r="R219" i="6" s="1"/>
  <c r="Q220" i="6"/>
  <c r="R220" i="6" s="1"/>
  <c r="Q221" i="6"/>
  <c r="Q222" i="6"/>
  <c r="Q223" i="6"/>
  <c r="Q224" i="6"/>
  <c r="Q225" i="6"/>
  <c r="Q226" i="6"/>
  <c r="R226" i="6" s="1"/>
  <c r="Q227" i="6"/>
  <c r="R227" i="6" s="1"/>
  <c r="Q228" i="6"/>
  <c r="R228" i="6" s="1"/>
  <c r="Q229" i="6"/>
  <c r="R229" i="6" s="1"/>
  <c r="Q230" i="6"/>
  <c r="R230" i="6" s="1"/>
  <c r="Q231" i="6"/>
  <c r="R231" i="6" s="1"/>
  <c r="Q232" i="6"/>
  <c r="R232" i="6" s="1"/>
  <c r="Q233" i="6"/>
  <c r="R233" i="6" s="1"/>
  <c r="Q234" i="6"/>
  <c r="R234" i="6" s="1"/>
  <c r="Q235" i="6"/>
  <c r="R235" i="6" s="1"/>
  <c r="Q236" i="6"/>
  <c r="R236" i="6" s="1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R204" i="6"/>
  <c r="R221" i="6"/>
  <c r="R222" i="6"/>
  <c r="R223" i="6"/>
  <c r="R224" i="6"/>
  <c r="R225" i="6"/>
  <c r="E208" i="6"/>
  <c r="E39" i="4"/>
  <c r="D39" i="4"/>
  <c r="E20" i="8"/>
  <c r="E108" i="6"/>
  <c r="E217" i="6"/>
  <c r="E167" i="6"/>
  <c r="E211" i="6"/>
  <c r="E28" i="6"/>
  <c r="E19" i="6"/>
  <c r="E369" i="3"/>
  <c r="E366" i="3"/>
  <c r="E402" i="3"/>
  <c r="E427" i="3"/>
  <c r="E432" i="3"/>
  <c r="E425" i="3"/>
  <c r="E376" i="3"/>
  <c r="E340" i="3"/>
  <c r="E372" i="3"/>
  <c r="E418" i="3"/>
  <c r="E307" i="3"/>
  <c r="E62" i="3"/>
  <c r="E176" i="3"/>
  <c r="E138" i="3"/>
  <c r="E94" i="3"/>
  <c r="E278" i="3"/>
  <c r="E400" i="3"/>
  <c r="D400" i="3" s="1"/>
  <c r="D407" i="3"/>
  <c r="D377" i="3"/>
  <c r="D382" i="3"/>
  <c r="D381" i="3"/>
  <c r="D359" i="3"/>
  <c r="D342" i="3"/>
  <c r="D368" i="3"/>
  <c r="D380" i="3"/>
  <c r="D385" i="3"/>
  <c r="E335" i="3"/>
  <c r="E371" i="3"/>
  <c r="D371" i="3" s="1"/>
  <c r="E389" i="3"/>
  <c r="D389" i="3" s="1"/>
  <c r="E388" i="3"/>
  <c r="D388" i="3" s="1"/>
  <c r="E422" i="3"/>
  <c r="D422" i="3" s="1"/>
  <c r="E378" i="3"/>
  <c r="D378" i="3" s="1"/>
  <c r="E171" i="3"/>
  <c r="E215" i="3"/>
  <c r="E386" i="3"/>
  <c r="D386" i="3" s="1"/>
  <c r="E363" i="3"/>
  <c r="D363" i="3" s="1"/>
  <c r="E11" i="3"/>
  <c r="E9" i="3"/>
  <c r="E15" i="3"/>
  <c r="E7" i="3"/>
  <c r="E433" i="3"/>
  <c r="D433" i="3" s="1"/>
  <c r="E406" i="3"/>
  <c r="D406" i="3" s="1"/>
  <c r="E348" i="3"/>
  <c r="D348" i="3" s="1"/>
  <c r="E373" i="3"/>
  <c r="D373" i="3" s="1"/>
  <c r="E40" i="4"/>
  <c r="D40" i="4" s="1"/>
  <c r="E38" i="4"/>
  <c r="D38" i="4" s="1"/>
  <c r="E344" i="3"/>
  <c r="D344" i="3" s="1"/>
  <c r="E412" i="3"/>
  <c r="D412" i="3" s="1"/>
  <c r="E205" i="3"/>
  <c r="E204" i="3"/>
  <c r="G24" i="1"/>
  <c r="E24" i="1"/>
  <c r="E6" i="3"/>
  <c r="E6" i="4"/>
  <c r="E19" i="3"/>
  <c r="E419" i="3"/>
  <c r="D419" i="3" s="1"/>
  <c r="E408" i="3"/>
  <c r="D408" i="3" s="1"/>
  <c r="E367" i="3"/>
  <c r="D367" i="3" s="1"/>
  <c r="E337" i="3"/>
  <c r="D337" i="3" s="1"/>
  <c r="E374" i="3"/>
  <c r="E339" i="3"/>
  <c r="D339" i="3" s="1"/>
  <c r="E395" i="3"/>
  <c r="D395" i="3" s="1"/>
  <c r="E401" i="3"/>
  <c r="D401" i="3" s="1"/>
  <c r="E393" i="3"/>
  <c r="D393" i="3" s="1"/>
  <c r="E355" i="3"/>
  <c r="D355" i="3" s="1"/>
  <c r="E343" i="3"/>
  <c r="D343" i="3" s="1"/>
  <c r="E383" i="3"/>
  <c r="D383" i="3" s="1"/>
  <c r="E360" i="3"/>
  <c r="D360" i="3" s="1"/>
  <c r="E391" i="3"/>
  <c r="E351" i="3"/>
  <c r="D351" i="3" s="1"/>
  <c r="E379" i="3"/>
  <c r="D379" i="3" s="1"/>
  <c r="E52" i="3"/>
  <c r="E296" i="3"/>
  <c r="E54" i="3"/>
  <c r="E66" i="3"/>
  <c r="E170" i="3"/>
  <c r="E141" i="3"/>
  <c r="E277" i="3"/>
  <c r="E93" i="3"/>
  <c r="AH171" i="3"/>
  <c r="AG171" i="3"/>
  <c r="AF171" i="3"/>
  <c r="AE171" i="3"/>
  <c r="AC171" i="3"/>
  <c r="W171" i="3"/>
  <c r="V171" i="3"/>
  <c r="E43" i="4"/>
  <c r="D43" i="4" s="1"/>
  <c r="E42" i="4"/>
  <c r="D42" i="4" s="1"/>
  <c r="E37" i="4"/>
  <c r="D37" i="4" s="1"/>
  <c r="E12" i="4"/>
  <c r="E17" i="4"/>
  <c r="E12" i="3"/>
  <c r="E317" i="3"/>
  <c r="E122" i="3"/>
  <c r="D204" i="6" l="1"/>
  <c r="D211" i="6"/>
  <c r="D212" i="6"/>
  <c r="D349" i="3"/>
  <c r="D428" i="3"/>
  <c r="D209" i="6"/>
  <c r="D217" i="6"/>
  <c r="D213" i="6"/>
  <c r="D205" i="6"/>
  <c r="D210" i="6"/>
  <c r="AK171" i="3"/>
  <c r="AL171" i="3" s="1"/>
  <c r="X171" i="3" s="1"/>
  <c r="Z171" i="3" s="1"/>
  <c r="AA171" i="3" s="1"/>
  <c r="O171" i="3" s="1"/>
  <c r="E283" i="1"/>
  <c r="D283" i="1" s="1"/>
  <c r="J284" i="1"/>
  <c r="Z284" i="1"/>
  <c r="AA284" i="1" s="1"/>
  <c r="O284" i="1" s="1"/>
  <c r="E334" i="1"/>
  <c r="D334" i="1" s="1"/>
  <c r="E319" i="1"/>
  <c r="D319" i="1" s="1"/>
  <c r="E345" i="1"/>
  <c r="D345" i="1" s="1"/>
  <c r="E322" i="1"/>
  <c r="D322" i="1" s="1"/>
  <c r="D44" i="2"/>
  <c r="E44" i="2"/>
  <c r="E287" i="1"/>
  <c r="D287" i="1" s="1"/>
  <c r="E365" i="1"/>
  <c r="E342" i="1"/>
  <c r="D43" i="5"/>
  <c r="G43" i="5"/>
  <c r="E53" i="2"/>
  <c r="E327" i="1"/>
  <c r="E278" i="1"/>
  <c r="D278" i="1" s="1"/>
  <c r="E263" i="1"/>
  <c r="D263" i="1" s="1"/>
  <c r="E361" i="1"/>
  <c r="D361" i="1" s="1"/>
  <c r="E335" i="1"/>
  <c r="D335" i="1" s="1"/>
  <c r="E323" i="1"/>
  <c r="D323" i="1" s="1"/>
  <c r="E99" i="1"/>
  <c r="E176" i="1"/>
  <c r="E363" i="1"/>
  <c r="E264" i="1"/>
  <c r="E301" i="1"/>
  <c r="D301" i="1" s="1"/>
  <c r="E315" i="1"/>
  <c r="D315" i="1" s="1"/>
  <c r="E336" i="1"/>
  <c r="D336" i="1" s="1"/>
  <c r="E115" i="1"/>
  <c r="E179" i="1"/>
  <c r="E43" i="1"/>
  <c r="E177" i="1"/>
  <c r="E54" i="1"/>
  <c r="E332" i="1"/>
  <c r="D332" i="1" s="1"/>
  <c r="E246" i="1"/>
  <c r="E55" i="1"/>
  <c r="E234" i="1"/>
  <c r="E209" i="1"/>
  <c r="E48" i="1"/>
  <c r="E229" i="1"/>
  <c r="E45" i="1"/>
  <c r="E77" i="1"/>
  <c r="E158" i="1"/>
  <c r="E273" i="1"/>
  <c r="D273" i="1" s="1"/>
  <c r="E366" i="1"/>
  <c r="D366" i="1" s="1"/>
  <c r="E303" i="1"/>
  <c r="D303" i="1" s="1"/>
  <c r="E307" i="1"/>
  <c r="D307" i="1" s="1"/>
  <c r="E297" i="1"/>
  <c r="D297" i="1" s="1"/>
  <c r="E300" i="1"/>
  <c r="D300" i="1" s="1"/>
  <c r="E353" i="1"/>
  <c r="D353" i="1" s="1"/>
  <c r="E280" i="1"/>
  <c r="D280" i="1" s="1"/>
  <c r="C297" i="1"/>
  <c r="E371" i="1"/>
  <c r="D371" i="1" s="1"/>
  <c r="E93" i="1"/>
  <c r="E28" i="1"/>
  <c r="E10" i="1"/>
  <c r="E8" i="1"/>
  <c r="E362" i="1"/>
  <c r="D362" i="1" s="1"/>
  <c r="E341" i="1"/>
  <c r="D341" i="1" s="1"/>
  <c r="E306" i="1"/>
  <c r="D306" i="1" s="1"/>
  <c r="E279" i="1"/>
  <c r="D279" i="1" s="1"/>
  <c r="E227" i="1"/>
  <c r="E299" i="1"/>
  <c r="E12" i="1"/>
  <c r="E15" i="1"/>
  <c r="E9" i="1"/>
  <c r="E22" i="1"/>
  <c r="E186" i="1"/>
  <c r="E16" i="1"/>
  <c r="E6" i="1"/>
  <c r="E11" i="1"/>
  <c r="E29" i="1"/>
  <c r="E19" i="1"/>
  <c r="E21" i="1"/>
  <c r="E18" i="1"/>
  <c r="E25" i="1"/>
  <c r="E13" i="1"/>
  <c r="E51" i="2"/>
  <c r="D53" i="2"/>
  <c r="E55" i="2"/>
  <c r="D55" i="2"/>
  <c r="E276" i="1"/>
  <c r="D276" i="1" s="1"/>
  <c r="E320" i="1"/>
  <c r="D320" i="1" s="1"/>
  <c r="E330" i="1"/>
  <c r="D330" i="1" s="1"/>
  <c r="E338" i="1"/>
  <c r="D338" i="1" s="1"/>
  <c r="E355" i="1"/>
  <c r="D355" i="1" s="1"/>
  <c r="E266" i="1"/>
  <c r="D266" i="1" s="1"/>
  <c r="E352" i="1"/>
  <c r="D352" i="1" s="1"/>
  <c r="E331" i="1"/>
  <c r="D331" i="1" s="1"/>
  <c r="E348" i="1"/>
  <c r="D348" i="1" s="1"/>
  <c r="E324" i="1"/>
  <c r="D324" i="1" s="1"/>
  <c r="E311" i="1"/>
  <c r="E271" i="1"/>
  <c r="D271" i="1" s="1"/>
  <c r="E78" i="1"/>
  <c r="E356" i="1"/>
  <c r="D356" i="1" s="1"/>
  <c r="E360" i="1"/>
  <c r="E270" i="1"/>
  <c r="D270" i="1" s="1"/>
  <c r="E333" i="1"/>
  <c r="E281" i="1"/>
  <c r="D281" i="1" s="1"/>
  <c r="E350" i="1"/>
  <c r="E316" i="1"/>
  <c r="D316" i="1" s="1"/>
  <c r="E370" i="1"/>
  <c r="D370" i="1" s="1"/>
  <c r="E285" i="1"/>
  <c r="E364" i="1"/>
  <c r="D364" i="1" s="1"/>
  <c r="E134" i="1"/>
  <c r="E369" i="1"/>
  <c r="D369" i="1" s="1"/>
  <c r="E321" i="1"/>
  <c r="E282" i="1"/>
  <c r="E208" i="1"/>
  <c r="E262" i="1"/>
  <c r="E349" i="1"/>
  <c r="D349" i="1" s="1"/>
  <c r="E275" i="1"/>
  <c r="E346" i="1"/>
  <c r="D346" i="1" s="1"/>
  <c r="E97" i="1"/>
  <c r="E312" i="1"/>
  <c r="E313" i="1"/>
  <c r="E103" i="1"/>
  <c r="E310" i="1"/>
  <c r="E110" i="1"/>
  <c r="E359" i="1"/>
  <c r="E328" i="1"/>
  <c r="E254" i="1"/>
  <c r="E302" i="1"/>
  <c r="D302" i="1" s="1"/>
  <c r="E84" i="1"/>
  <c r="E79" i="1"/>
  <c r="E131" i="1"/>
  <c r="E25" i="2"/>
  <c r="E26" i="2"/>
  <c r="E20" i="2"/>
  <c r="E24" i="2"/>
  <c r="E288" i="1"/>
  <c r="D288" i="1" s="1"/>
  <c r="E74" i="1"/>
  <c r="E368" i="1"/>
  <c r="E235" i="1"/>
  <c r="E357" i="1"/>
  <c r="D357" i="1" s="1"/>
  <c r="E314" i="1"/>
  <c r="E269" i="1"/>
  <c r="E274" i="1"/>
  <c r="E367" i="1"/>
  <c r="E295" i="1"/>
  <c r="D295" i="1" s="1"/>
  <c r="E277" i="1"/>
  <c r="E20" i="1"/>
  <c r="E114" i="1"/>
  <c r="E290" i="1"/>
  <c r="E337" i="1"/>
  <c r="E26" i="1"/>
  <c r="E354" i="1"/>
  <c r="D354" i="1" s="1"/>
  <c r="E214" i="1"/>
  <c r="E17" i="1"/>
  <c r="E27" i="1"/>
  <c r="E44" i="5"/>
  <c r="E46" i="5"/>
  <c r="E27" i="5"/>
  <c r="E18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4" i="5"/>
  <c r="D45" i="5"/>
  <c r="D46" i="5"/>
  <c r="D6" i="5"/>
  <c r="E34" i="5"/>
  <c r="E40" i="5"/>
  <c r="F405" i="3"/>
  <c r="D405" i="3" s="1"/>
  <c r="F172" i="6"/>
  <c r="F317" i="3"/>
  <c r="F89" i="6"/>
  <c r="F7" i="3"/>
  <c r="F15" i="3"/>
  <c r="F417" i="3"/>
  <c r="F398" i="3"/>
  <c r="F278" i="3"/>
  <c r="F94" i="3"/>
  <c r="F204" i="3"/>
  <c r="F205" i="3"/>
  <c r="F158" i="1"/>
  <c r="F77" i="1"/>
  <c r="F425" i="3"/>
  <c r="D425" i="3" s="1"/>
  <c r="F432" i="3"/>
  <c r="D432" i="3" s="1"/>
  <c r="E24" i="8"/>
  <c r="F28" i="6"/>
  <c r="F418" i="3"/>
  <c r="D418" i="3" s="1"/>
  <c r="F345" i="3"/>
  <c r="F14" i="3"/>
  <c r="F402" i="3"/>
  <c r="D402" i="3" s="1"/>
  <c r="F427" i="3"/>
  <c r="D427" i="3" s="1"/>
  <c r="F37" i="2"/>
  <c r="D37" i="2" s="1"/>
  <c r="F45" i="2"/>
  <c r="D45" i="2" s="1"/>
  <c r="F50" i="2"/>
  <c r="D50" i="2" s="1"/>
  <c r="F52" i="2"/>
  <c r="D52" i="2" s="1"/>
  <c r="X94" i="3"/>
  <c r="W94" i="3"/>
  <c r="V94" i="3"/>
  <c r="U94" i="3"/>
  <c r="F424" i="3"/>
  <c r="D424" i="3" s="1"/>
  <c r="F372" i="3"/>
  <c r="D372" i="3" s="1"/>
  <c r="F358" i="3"/>
  <c r="D358" i="3" s="1"/>
  <c r="F352" i="3"/>
  <c r="F420" i="3"/>
  <c r="D420" i="3" s="1"/>
  <c r="F299" i="1"/>
  <c r="F78" i="1"/>
  <c r="F227" i="1"/>
  <c r="I8" i="2"/>
  <c r="J8" i="2"/>
  <c r="K8" i="2"/>
  <c r="I12" i="2"/>
  <c r="J12" i="2"/>
  <c r="I14" i="2"/>
  <c r="K14" i="2"/>
  <c r="K16" i="2"/>
  <c r="K17" i="2"/>
  <c r="I18" i="2"/>
  <c r="J18" i="2"/>
  <c r="K18" i="2"/>
  <c r="I20" i="2"/>
  <c r="J20" i="2"/>
  <c r="K20" i="2"/>
  <c r="I24" i="2"/>
  <c r="J24" i="2"/>
  <c r="K24" i="2"/>
  <c r="J26" i="2"/>
  <c r="K26" i="2"/>
  <c r="I33" i="2"/>
  <c r="K33" i="2"/>
  <c r="K15" i="2"/>
  <c r="J38" i="2"/>
  <c r="I39" i="2"/>
  <c r="I40" i="2"/>
  <c r="I41" i="2"/>
  <c r="I42" i="2"/>
  <c r="J42" i="2"/>
  <c r="I43" i="2"/>
  <c r="J46" i="2"/>
  <c r="K46" i="2"/>
  <c r="I47" i="2"/>
  <c r="I48" i="2"/>
  <c r="I49" i="2"/>
  <c r="I51" i="2"/>
  <c r="I54" i="2"/>
  <c r="J56" i="2"/>
  <c r="J57" i="2"/>
  <c r="Q171" i="3" l="1"/>
  <c r="R171" i="3" s="1"/>
  <c r="D171" i="3" s="1"/>
  <c r="Q284" i="1"/>
  <c r="R284" i="1" s="1"/>
  <c r="D284" i="1" s="1"/>
  <c r="D299" i="1"/>
  <c r="N9" i="8"/>
  <c r="P9" i="8" s="1"/>
  <c r="Q9" i="8" s="1"/>
  <c r="N16" i="8"/>
  <c r="P16" i="8" s="1"/>
  <c r="Q16" i="8" s="1"/>
  <c r="N17" i="8"/>
  <c r="N18" i="8"/>
  <c r="N24" i="8"/>
  <c r="N25" i="8"/>
  <c r="O147" i="6"/>
  <c r="O155" i="6"/>
  <c r="O178" i="6"/>
  <c r="O196" i="6"/>
  <c r="O201" i="6"/>
  <c r="O31" i="6"/>
  <c r="O119" i="6"/>
  <c r="O125" i="6"/>
  <c r="O144" i="6"/>
  <c r="O150" i="6"/>
  <c r="O161" i="6"/>
  <c r="O24" i="6"/>
  <c r="O52" i="6"/>
  <c r="Q52" i="6" s="1"/>
  <c r="R52" i="6" s="1"/>
  <c r="D52" i="6" s="1"/>
  <c r="O115" i="6"/>
  <c r="O34" i="6"/>
  <c r="O206" i="6"/>
  <c r="O126" i="6"/>
  <c r="O136" i="6"/>
  <c r="O41" i="4"/>
  <c r="O44" i="4"/>
  <c r="O45" i="4"/>
  <c r="O36" i="3"/>
  <c r="O41" i="3"/>
  <c r="O49" i="3"/>
  <c r="O72" i="3"/>
  <c r="O75" i="3"/>
  <c r="O81" i="3"/>
  <c r="O98" i="3"/>
  <c r="O102" i="3"/>
  <c r="O111" i="3"/>
  <c r="O115" i="3"/>
  <c r="O153" i="3"/>
  <c r="O176" i="3"/>
  <c r="O180" i="3"/>
  <c r="O203" i="3"/>
  <c r="O217" i="3"/>
  <c r="O223" i="3"/>
  <c r="O257" i="3"/>
  <c r="O260" i="3"/>
  <c r="O261" i="3"/>
  <c r="O264" i="3"/>
  <c r="O267" i="3"/>
  <c r="O320" i="3"/>
  <c r="O323" i="3"/>
  <c r="O14" i="2"/>
  <c r="O17" i="2"/>
  <c r="O33" i="2"/>
  <c r="O36" i="2"/>
  <c r="Q36" i="2" s="1"/>
  <c r="R36" i="2" s="1"/>
  <c r="D36" i="2" s="1"/>
  <c r="O15" i="2"/>
  <c r="O16" i="2"/>
  <c r="O38" i="2"/>
  <c r="O39" i="2"/>
  <c r="O40" i="2"/>
  <c r="O41" i="2"/>
  <c r="O42" i="2"/>
  <c r="O43" i="2"/>
  <c r="O21" i="2"/>
  <c r="O46" i="2"/>
  <c r="Q46" i="2" s="1"/>
  <c r="O47" i="2"/>
  <c r="O48" i="2"/>
  <c r="O49" i="2"/>
  <c r="O25" i="2"/>
  <c r="O51" i="2"/>
  <c r="O54" i="2"/>
  <c r="O56" i="2"/>
  <c r="O57" i="2"/>
  <c r="O29" i="5"/>
  <c r="Q29" i="5" s="1"/>
  <c r="R29" i="5" s="1"/>
  <c r="Z9" i="1"/>
  <c r="AA9" i="1" s="1"/>
  <c r="Z10" i="1"/>
  <c r="AA10" i="1" s="1"/>
  <c r="Z31" i="1"/>
  <c r="AA31" i="1" s="1"/>
  <c r="O31" i="1" s="1"/>
  <c r="Q31" i="1" s="1"/>
  <c r="R31" i="1" s="1"/>
  <c r="D31" i="1" s="1"/>
  <c r="Z33" i="1"/>
  <c r="AA33" i="1" s="1"/>
  <c r="Z44" i="1"/>
  <c r="AA44" i="1" s="1"/>
  <c r="O44" i="1" s="1"/>
  <c r="Z47" i="1"/>
  <c r="AA47" i="1" s="1"/>
  <c r="Z50" i="1"/>
  <c r="AA50" i="1" s="1"/>
  <c r="O50" i="1" s="1"/>
  <c r="Z69" i="1"/>
  <c r="AA69" i="1" s="1"/>
  <c r="Z75" i="1"/>
  <c r="AA75" i="1" s="1"/>
  <c r="O75" i="1" s="1"/>
  <c r="Z79" i="1"/>
  <c r="AA79" i="1" s="1"/>
  <c r="Z85" i="1"/>
  <c r="AA85" i="1" s="1"/>
  <c r="Z88" i="1"/>
  <c r="AA88" i="1" s="1"/>
  <c r="O88" i="1" s="1"/>
  <c r="Z101" i="1"/>
  <c r="AA101" i="1" s="1"/>
  <c r="Z103" i="1"/>
  <c r="AA103" i="1" s="1"/>
  <c r="O103" i="1" s="1"/>
  <c r="Z107" i="1"/>
  <c r="AA107" i="1" s="1"/>
  <c r="O107" i="1" s="1"/>
  <c r="Z124" i="1"/>
  <c r="AA124" i="1" s="1"/>
  <c r="O124" i="1" s="1"/>
  <c r="Z131" i="1"/>
  <c r="AA131" i="1" s="1"/>
  <c r="O131" i="1" s="1"/>
  <c r="Z140" i="1"/>
  <c r="AA140" i="1" s="1"/>
  <c r="Z142" i="1"/>
  <c r="AA142" i="1" s="1"/>
  <c r="Z143" i="1"/>
  <c r="AA143" i="1" s="1"/>
  <c r="Z147" i="1"/>
  <c r="AA147" i="1" s="1"/>
  <c r="Z157" i="1"/>
  <c r="AA157" i="1" s="1"/>
  <c r="O157" i="1" s="1"/>
  <c r="Z166" i="1"/>
  <c r="AA166" i="1" s="1"/>
  <c r="O166" i="1" s="1"/>
  <c r="Z173" i="1"/>
  <c r="AA173" i="1" s="1"/>
  <c r="Z178" i="1"/>
  <c r="AA178" i="1" s="1"/>
  <c r="O178" i="1" s="1"/>
  <c r="Z180" i="1"/>
  <c r="AA180" i="1" s="1"/>
  <c r="Z185" i="1"/>
  <c r="AA185" i="1" s="1"/>
  <c r="O185" i="1" s="1"/>
  <c r="Z17" i="1"/>
  <c r="AA17" i="1" s="1"/>
  <c r="O17" i="1" s="1"/>
  <c r="Z195" i="1"/>
  <c r="AA195" i="1" s="1"/>
  <c r="O195" i="1" s="1"/>
  <c r="Z196" i="1"/>
  <c r="AA196" i="1" s="1"/>
  <c r="O196" i="1" s="1"/>
  <c r="Z210" i="1"/>
  <c r="AA210" i="1" s="1"/>
  <c r="Z213" i="1"/>
  <c r="AA213" i="1" s="1"/>
  <c r="Z225" i="1"/>
  <c r="AA225" i="1" s="1"/>
  <c r="O225" i="1" s="1"/>
  <c r="Z226" i="1"/>
  <c r="AA226" i="1" s="1"/>
  <c r="Z231" i="1"/>
  <c r="AA231" i="1" s="1"/>
  <c r="O231" i="1" s="1"/>
  <c r="Z241" i="1"/>
  <c r="AA241" i="1" s="1"/>
  <c r="O241" i="1" s="1"/>
  <c r="Z249" i="1"/>
  <c r="AA249" i="1" s="1"/>
  <c r="O249" i="1" s="1"/>
  <c r="Z259" i="1"/>
  <c r="AA259" i="1" s="1"/>
  <c r="Z260" i="1"/>
  <c r="AA260" i="1" s="1"/>
  <c r="O260" i="1" s="1"/>
  <c r="Z261" i="1"/>
  <c r="AA261" i="1" s="1"/>
  <c r="O261" i="1" s="1"/>
  <c r="Z262" i="1"/>
  <c r="AA262" i="1" s="1"/>
  <c r="O262" i="1" s="1"/>
  <c r="Z264" i="1"/>
  <c r="AA264" i="1" s="1"/>
  <c r="O264" i="1" s="1"/>
  <c r="Z43" i="1"/>
  <c r="AA43" i="1" s="1"/>
  <c r="O43" i="1" s="1"/>
  <c r="Z265" i="1"/>
  <c r="AA265" i="1" s="1"/>
  <c r="O265" i="1" s="1"/>
  <c r="Z46" i="1"/>
  <c r="AA46" i="1" s="1"/>
  <c r="O46" i="1" s="1"/>
  <c r="Z267" i="1"/>
  <c r="AA267" i="1" s="1"/>
  <c r="O267" i="1" s="1"/>
  <c r="Z268" i="1"/>
  <c r="AA268" i="1" s="1"/>
  <c r="O268" i="1" s="1"/>
  <c r="Z269" i="1"/>
  <c r="AA269" i="1" s="1"/>
  <c r="O269" i="1" s="1"/>
  <c r="Z48" i="1"/>
  <c r="AA48" i="1" s="1"/>
  <c r="O48" i="1" s="1"/>
  <c r="Z54" i="1"/>
  <c r="AA54" i="1" s="1"/>
  <c r="O54" i="1" s="1"/>
  <c r="Z272" i="1"/>
  <c r="AA272" i="1" s="1"/>
  <c r="O272" i="1" s="1"/>
  <c r="Z59" i="1"/>
  <c r="AA59" i="1" s="1"/>
  <c r="O59" i="1" s="1"/>
  <c r="Z274" i="1"/>
  <c r="AA274" i="1" s="1"/>
  <c r="O274" i="1" s="1"/>
  <c r="Z275" i="1"/>
  <c r="AA275" i="1" s="1"/>
  <c r="O275" i="1" s="1"/>
  <c r="Z62" i="1"/>
  <c r="AA62" i="1" s="1"/>
  <c r="O62" i="1" s="1"/>
  <c r="Z277" i="1"/>
  <c r="AA277" i="1" s="1"/>
  <c r="O277" i="1" s="1"/>
  <c r="Z77" i="1"/>
  <c r="AA77" i="1" s="1"/>
  <c r="O77" i="1" s="1"/>
  <c r="Z78" i="1"/>
  <c r="AA78" i="1" s="1"/>
  <c r="O78" i="1" s="1"/>
  <c r="Z80" i="1"/>
  <c r="AA80" i="1" s="1"/>
  <c r="O80" i="1" s="1"/>
  <c r="Z81" i="1"/>
  <c r="AA81" i="1" s="1"/>
  <c r="O81" i="1" s="1"/>
  <c r="Z282" i="1"/>
  <c r="AA282" i="1" s="1"/>
  <c r="O282" i="1" s="1"/>
  <c r="Z285" i="1"/>
  <c r="AA285" i="1" s="1"/>
  <c r="O285" i="1" s="1"/>
  <c r="Q285" i="1" s="1"/>
  <c r="R285" i="1" s="1"/>
  <c r="D285" i="1" s="1"/>
  <c r="Z86" i="1"/>
  <c r="AA86" i="1" s="1"/>
  <c r="O86" i="1" s="1"/>
  <c r="Z286" i="1"/>
  <c r="AA286" i="1" s="1"/>
  <c r="O286" i="1" s="1"/>
  <c r="Z89" i="1"/>
  <c r="AA89" i="1" s="1"/>
  <c r="O89" i="1" s="1"/>
  <c r="Z94" i="1"/>
  <c r="AA94" i="1" s="1"/>
  <c r="O94" i="1" s="1"/>
  <c r="Z289" i="1"/>
  <c r="AA289" i="1" s="1"/>
  <c r="O289" i="1" s="1"/>
  <c r="Z290" i="1"/>
  <c r="AA290" i="1" s="1"/>
  <c r="O290" i="1" s="1"/>
  <c r="Z96" i="1"/>
  <c r="AA96" i="1" s="1"/>
  <c r="O96" i="1" s="1"/>
  <c r="Z99" i="1"/>
  <c r="AA99" i="1" s="1"/>
  <c r="O99" i="1" s="1"/>
  <c r="Z291" i="1"/>
  <c r="AA291" i="1" s="1"/>
  <c r="O291" i="1" s="1"/>
  <c r="Z292" i="1"/>
  <c r="AA292" i="1" s="1"/>
  <c r="O292" i="1" s="1"/>
  <c r="Z293" i="1"/>
  <c r="AA293" i="1" s="1"/>
  <c r="O293" i="1" s="1"/>
  <c r="Z294" i="1"/>
  <c r="AA294" i="1" s="1"/>
  <c r="O294" i="1" s="1"/>
  <c r="Z296" i="1"/>
  <c r="AA296" i="1" s="1"/>
  <c r="O296" i="1" s="1"/>
  <c r="Z108" i="1"/>
  <c r="AA108" i="1" s="1"/>
  <c r="O108" i="1" s="1"/>
  <c r="Z112" i="1"/>
  <c r="AA112" i="1" s="1"/>
  <c r="O112" i="1" s="1"/>
  <c r="Z298" i="1"/>
  <c r="AA298" i="1" s="1"/>
  <c r="O298" i="1" s="1"/>
  <c r="Z115" i="1"/>
  <c r="AA115" i="1" s="1"/>
  <c r="O115" i="1" s="1"/>
  <c r="Z119" i="1"/>
  <c r="AA119" i="1" s="1"/>
  <c r="O119" i="1" s="1"/>
  <c r="Z120" i="1"/>
  <c r="AA120" i="1" s="1"/>
  <c r="O120" i="1" s="1"/>
  <c r="Z121" i="1"/>
  <c r="AA121" i="1" s="1"/>
  <c r="O121" i="1" s="1"/>
  <c r="Z122" i="1"/>
  <c r="AA122" i="1" s="1"/>
  <c r="O122" i="1" s="1"/>
  <c r="Z129" i="1"/>
  <c r="AA129" i="1" s="1"/>
  <c r="O129" i="1" s="1"/>
  <c r="Z304" i="1"/>
  <c r="AA304" i="1" s="1"/>
  <c r="O304" i="1" s="1"/>
  <c r="Z305" i="1"/>
  <c r="AA305" i="1" s="1"/>
  <c r="O305" i="1" s="1"/>
  <c r="Z134" i="1"/>
  <c r="AA134" i="1" s="1"/>
  <c r="O134" i="1" s="1"/>
  <c r="Z135" i="1"/>
  <c r="AA135" i="1" s="1"/>
  <c r="O135" i="1" s="1"/>
  <c r="Z141" i="1"/>
  <c r="AA141" i="1" s="1"/>
  <c r="O141" i="1" s="1"/>
  <c r="Z308" i="1"/>
  <c r="AA308" i="1" s="1"/>
  <c r="O308" i="1" s="1"/>
  <c r="Z309" i="1"/>
  <c r="AA309" i="1" s="1"/>
  <c r="O309" i="1" s="1"/>
  <c r="Z310" i="1"/>
  <c r="AA310" i="1" s="1"/>
  <c r="O310" i="1" s="1"/>
  <c r="Z311" i="1"/>
  <c r="AA311" i="1" s="1"/>
  <c r="O311" i="1" s="1"/>
  <c r="Z148" i="1"/>
  <c r="AA148" i="1" s="1"/>
  <c r="O148" i="1" s="1"/>
  <c r="Z312" i="1"/>
  <c r="AA312" i="1" s="1"/>
  <c r="O312" i="1" s="1"/>
  <c r="Z151" i="1"/>
  <c r="AA151" i="1" s="1"/>
  <c r="O151" i="1" s="1"/>
  <c r="Z152" i="1"/>
  <c r="AA152" i="1" s="1"/>
  <c r="O152" i="1" s="1"/>
  <c r="Z313" i="1"/>
  <c r="AA313" i="1" s="1"/>
  <c r="O313" i="1" s="1"/>
  <c r="Z314" i="1"/>
  <c r="AA314" i="1" s="1"/>
  <c r="O314" i="1" s="1"/>
  <c r="Z155" i="1"/>
  <c r="AA155" i="1" s="1"/>
  <c r="O155" i="1" s="1"/>
  <c r="Z317" i="1"/>
  <c r="AA317" i="1" s="1"/>
  <c r="O317" i="1" s="1"/>
  <c r="Z318" i="1"/>
  <c r="AA318" i="1" s="1"/>
  <c r="O318" i="1" s="1"/>
  <c r="Z162" i="1"/>
  <c r="AA162" i="1" s="1"/>
  <c r="O162" i="1" s="1"/>
  <c r="Z321" i="1"/>
  <c r="AA321" i="1" s="1"/>
  <c r="O321" i="1" s="1"/>
  <c r="Z325" i="1"/>
  <c r="AA325" i="1" s="1"/>
  <c r="O325" i="1" s="1"/>
  <c r="Z176" i="1"/>
  <c r="AA176" i="1" s="1"/>
  <c r="O176" i="1" s="1"/>
  <c r="Z179" i="1"/>
  <c r="AA179" i="1" s="1"/>
  <c r="O179" i="1" s="1"/>
  <c r="Z182" i="1"/>
  <c r="AA182" i="1" s="1"/>
  <c r="O182" i="1" s="1"/>
  <c r="Z326" i="1"/>
  <c r="AA326" i="1" s="1"/>
  <c r="O326" i="1" s="1"/>
  <c r="Z327" i="1"/>
  <c r="AA327" i="1" s="1"/>
  <c r="O327" i="1" s="1"/>
  <c r="Z328" i="1"/>
  <c r="AA328" i="1" s="1"/>
  <c r="O328" i="1" s="1"/>
  <c r="Z329" i="1"/>
  <c r="AA329" i="1" s="1"/>
  <c r="O329" i="1" s="1"/>
  <c r="Z187" i="1"/>
  <c r="AA187" i="1" s="1"/>
  <c r="O187" i="1" s="1"/>
  <c r="Z191" i="1"/>
  <c r="AA191" i="1" s="1"/>
  <c r="O191" i="1" s="1"/>
  <c r="Z333" i="1"/>
  <c r="AA333" i="1" s="1"/>
  <c r="O333" i="1" s="1"/>
  <c r="Z192" i="1"/>
  <c r="AA192" i="1" s="1"/>
  <c r="O192" i="1" s="1"/>
  <c r="Z337" i="1"/>
  <c r="AA337" i="1" s="1"/>
  <c r="O337" i="1" s="1"/>
  <c r="Z339" i="1"/>
  <c r="AA339" i="1" s="1"/>
  <c r="O339" i="1" s="1"/>
  <c r="Z340" i="1"/>
  <c r="AA340" i="1" s="1"/>
  <c r="O340" i="1" s="1"/>
  <c r="Z200" i="1"/>
  <c r="AA200" i="1" s="1"/>
  <c r="O200" i="1" s="1"/>
  <c r="Z202" i="1"/>
  <c r="AA202" i="1" s="1"/>
  <c r="O202" i="1" s="1"/>
  <c r="Z203" i="1"/>
  <c r="AA203" i="1" s="1"/>
  <c r="O203" i="1" s="1"/>
  <c r="Z204" i="1"/>
  <c r="AA204" i="1" s="1"/>
  <c r="O204" i="1" s="1"/>
  <c r="Z342" i="1"/>
  <c r="AA342" i="1" s="1"/>
  <c r="O342" i="1" s="1"/>
  <c r="Z343" i="1"/>
  <c r="AA343" i="1" s="1"/>
  <c r="O343" i="1" s="1"/>
  <c r="Z344" i="1"/>
  <c r="AA344" i="1" s="1"/>
  <c r="O344" i="1" s="1"/>
  <c r="Z208" i="1"/>
  <c r="AA208" i="1" s="1"/>
  <c r="O208" i="1" s="1"/>
  <c r="Z209" i="1"/>
  <c r="AA209" i="1" s="1"/>
  <c r="O209" i="1" s="1"/>
  <c r="Z347" i="1"/>
  <c r="AA347" i="1" s="1"/>
  <c r="O347" i="1" s="1"/>
  <c r="Z215" i="1"/>
  <c r="AA215" i="1" s="1"/>
  <c r="O215" i="1" s="1"/>
  <c r="Z350" i="1"/>
  <c r="AA350" i="1" s="1"/>
  <c r="O350" i="1" s="1"/>
  <c r="Z351" i="1"/>
  <c r="AA351" i="1" s="1"/>
  <c r="O351" i="1" s="1"/>
  <c r="Z223" i="1"/>
  <c r="AA223" i="1" s="1"/>
  <c r="O223" i="1" s="1"/>
  <c r="Z224" i="1"/>
  <c r="AA224" i="1" s="1"/>
  <c r="O224" i="1" s="1"/>
  <c r="Z358" i="1"/>
  <c r="AA358" i="1" s="1"/>
  <c r="O358" i="1" s="1"/>
  <c r="Z359" i="1"/>
  <c r="AA359" i="1" s="1"/>
  <c r="O359" i="1" s="1"/>
  <c r="Z233" i="1"/>
  <c r="AA233" i="1" s="1"/>
  <c r="O233" i="1" s="1"/>
  <c r="Z360" i="1"/>
  <c r="AA360" i="1" s="1"/>
  <c r="O360" i="1" s="1"/>
  <c r="Z238" i="1"/>
  <c r="AA238" i="1" s="1"/>
  <c r="O238" i="1" s="1"/>
  <c r="Z363" i="1"/>
  <c r="AA363" i="1" s="1"/>
  <c r="O363" i="1" s="1"/>
  <c r="Z365" i="1"/>
  <c r="AA365" i="1" s="1"/>
  <c r="O365" i="1" s="1"/>
  <c r="Z367" i="1"/>
  <c r="AA367" i="1" s="1"/>
  <c r="O367" i="1" s="1"/>
  <c r="Z368" i="1"/>
  <c r="AA368" i="1" s="1"/>
  <c r="O368" i="1" s="1"/>
  <c r="Z255" i="1"/>
  <c r="AA255" i="1" s="1"/>
  <c r="O255" i="1" s="1"/>
  <c r="Z257" i="1"/>
  <c r="AA257" i="1" s="1"/>
  <c r="O257" i="1" s="1"/>
  <c r="I350" i="1"/>
  <c r="J350" i="1"/>
  <c r="I200" i="1"/>
  <c r="J200" i="1"/>
  <c r="M200" i="1"/>
  <c r="I182" i="1"/>
  <c r="L182" i="1"/>
  <c r="I327" i="1"/>
  <c r="I134" i="1"/>
  <c r="J134" i="1"/>
  <c r="K134" i="1"/>
  <c r="L134" i="1"/>
  <c r="L121" i="1"/>
  <c r="N78" i="1"/>
  <c r="U34" i="2"/>
  <c r="Z34" i="2" s="1"/>
  <c r="AA34" i="2" s="1"/>
  <c r="L16" i="2"/>
  <c r="M16" i="2"/>
  <c r="Q38" i="2"/>
  <c r="I234" i="1"/>
  <c r="J234" i="1"/>
  <c r="K234" i="1"/>
  <c r="L234" i="1"/>
  <c r="M234" i="1"/>
  <c r="U234" i="1"/>
  <c r="V234" i="1"/>
  <c r="AC234" i="1"/>
  <c r="AE234" i="1"/>
  <c r="AF234" i="1"/>
  <c r="AG234" i="1"/>
  <c r="AH234" i="1"/>
  <c r="K249" i="1"/>
  <c r="L249" i="1"/>
  <c r="M249" i="1"/>
  <c r="T249" i="1"/>
  <c r="J197" i="1"/>
  <c r="K197" i="1"/>
  <c r="L197" i="1"/>
  <c r="M197" i="1"/>
  <c r="T197" i="1"/>
  <c r="AG197" i="1"/>
  <c r="AK197" i="1" s="1"/>
  <c r="AL197" i="1" s="1"/>
  <c r="X197" i="1" s="1"/>
  <c r="Z197" i="1" s="1"/>
  <c r="AA197" i="1" s="1"/>
  <c r="U133" i="1"/>
  <c r="AF118" i="1"/>
  <c r="AK118" i="1" s="1"/>
  <c r="AL118" i="1" s="1"/>
  <c r="X118" i="1" s="1"/>
  <c r="Z118" i="1" s="1"/>
  <c r="AA118" i="1" s="1"/>
  <c r="AE104" i="1"/>
  <c r="AK104" i="1" s="1"/>
  <c r="AL104" i="1" s="1"/>
  <c r="X104" i="1" s="1"/>
  <c r="AK105" i="1"/>
  <c r="AL105" i="1" s="1"/>
  <c r="X105" i="1" s="1"/>
  <c r="Z105" i="1" s="1"/>
  <c r="AA105" i="1" s="1"/>
  <c r="AG53" i="1"/>
  <c r="AK53" i="1" s="1"/>
  <c r="AL53" i="1" s="1"/>
  <c r="X53" i="1" s="1"/>
  <c r="I55" i="1"/>
  <c r="J55" i="1"/>
  <c r="K55" i="1"/>
  <c r="L55" i="1"/>
  <c r="P55" i="1"/>
  <c r="T55" i="1"/>
  <c r="U55" i="1"/>
  <c r="V55" i="1"/>
  <c r="AG55" i="1"/>
  <c r="AK55" i="1" s="1"/>
  <c r="AL55" i="1" s="1"/>
  <c r="X55" i="1" s="1"/>
  <c r="AG64" i="1"/>
  <c r="AK64" i="1" s="1"/>
  <c r="AL64" i="1" s="1"/>
  <c r="X64" i="1" s="1"/>
  <c r="V87" i="1"/>
  <c r="AG87" i="1"/>
  <c r="AH87" i="1"/>
  <c r="T40" i="1"/>
  <c r="AK40" i="1"/>
  <c r="AL40" i="1" s="1"/>
  <c r="X40" i="1" s="1"/>
  <c r="Z40" i="1" s="1"/>
  <c r="AA40" i="1" s="1"/>
  <c r="T7" i="5"/>
  <c r="T9" i="5"/>
  <c r="T10" i="5"/>
  <c r="T12" i="5"/>
  <c r="T18" i="5"/>
  <c r="T23" i="5"/>
  <c r="T25" i="5"/>
  <c r="T26" i="5"/>
  <c r="Z31" i="3"/>
  <c r="AA31" i="3" s="1"/>
  <c r="O31" i="3" s="1"/>
  <c r="Z38" i="3"/>
  <c r="AA38" i="3" s="1"/>
  <c r="O38" i="3" s="1"/>
  <c r="Z340" i="3"/>
  <c r="AA340" i="3" s="1"/>
  <c r="O340" i="3" s="1"/>
  <c r="Z61" i="3"/>
  <c r="AA61" i="3" s="1"/>
  <c r="O61" i="3" s="1"/>
  <c r="Z76" i="3"/>
  <c r="AA76" i="3" s="1"/>
  <c r="Z350" i="3"/>
  <c r="AA350" i="3" s="1"/>
  <c r="O350" i="3" s="1"/>
  <c r="Z347" i="3"/>
  <c r="AA347" i="3" s="1"/>
  <c r="O347" i="3" s="1"/>
  <c r="Z94" i="3"/>
  <c r="AA94" i="3" s="1"/>
  <c r="O94" i="3" s="1"/>
  <c r="Z354" i="3"/>
  <c r="AA354" i="3" s="1"/>
  <c r="O354" i="3" s="1"/>
  <c r="Z356" i="3"/>
  <c r="AA356" i="3" s="1"/>
  <c r="O356" i="3" s="1"/>
  <c r="Z357" i="3"/>
  <c r="AA357" i="3" s="1"/>
  <c r="O357" i="3" s="1"/>
  <c r="Z361" i="3"/>
  <c r="AA361" i="3" s="1"/>
  <c r="O361" i="3" s="1"/>
  <c r="Z365" i="3"/>
  <c r="AA365" i="3" s="1"/>
  <c r="O365" i="3" s="1"/>
  <c r="Z366" i="3"/>
  <c r="AA366" i="3" s="1"/>
  <c r="O366" i="3" s="1"/>
  <c r="Z369" i="3"/>
  <c r="AA369" i="3" s="1"/>
  <c r="Z376" i="3"/>
  <c r="AA376" i="3" s="1"/>
  <c r="Z399" i="3"/>
  <c r="AA399" i="3" s="1"/>
  <c r="O399" i="3" s="1"/>
  <c r="Z243" i="3"/>
  <c r="AA243" i="3" s="1"/>
  <c r="O243" i="3" s="1"/>
  <c r="Z256" i="3"/>
  <c r="AA256" i="3" s="1"/>
  <c r="O256" i="3" s="1"/>
  <c r="Z268" i="3"/>
  <c r="AA268" i="3" s="1"/>
  <c r="O268" i="3" s="1"/>
  <c r="Z413" i="3"/>
  <c r="AA413" i="3" s="1"/>
  <c r="O413" i="3" s="1"/>
  <c r="Z279" i="3"/>
  <c r="AA279" i="3" s="1"/>
  <c r="O279" i="3" s="1"/>
  <c r="Z313" i="3"/>
  <c r="AA313" i="3" s="1"/>
  <c r="O313" i="3" s="1"/>
  <c r="Z319" i="3"/>
  <c r="AA319" i="3" s="1"/>
  <c r="O319" i="3" s="1"/>
  <c r="Z431" i="3"/>
  <c r="AA431" i="3" s="1"/>
  <c r="Z334" i="3"/>
  <c r="AA334" i="3" s="1"/>
  <c r="Z435" i="3"/>
  <c r="AA435" i="3" s="1"/>
  <c r="Z338" i="3"/>
  <c r="AA338" i="3" s="1"/>
  <c r="Z341" i="3"/>
  <c r="AA341" i="3" s="1"/>
  <c r="O341" i="3" s="1"/>
  <c r="Z42" i="3"/>
  <c r="AA42" i="3" s="1"/>
  <c r="O42" i="3" s="1"/>
  <c r="Z345" i="3"/>
  <c r="AA345" i="3" s="1"/>
  <c r="O345" i="3" s="1"/>
  <c r="Z346" i="3"/>
  <c r="AA346" i="3" s="1"/>
  <c r="O346" i="3" s="1"/>
  <c r="Z70" i="3"/>
  <c r="AA70" i="3" s="1"/>
  <c r="O70" i="3" s="1"/>
  <c r="Z82" i="3"/>
  <c r="AA82" i="3" s="1"/>
  <c r="O82" i="3" s="1"/>
  <c r="Z83" i="3"/>
  <c r="AA83" i="3" s="1"/>
  <c r="O83" i="3" s="1"/>
  <c r="Z90" i="3"/>
  <c r="AA90" i="3" s="1"/>
  <c r="O90" i="3" s="1"/>
  <c r="Z352" i="3"/>
  <c r="AA352" i="3" s="1"/>
  <c r="Z118" i="3"/>
  <c r="AA118" i="3" s="1"/>
  <c r="Z362" i="3"/>
  <c r="AA362" i="3" s="1"/>
  <c r="Z364" i="3"/>
  <c r="AA364" i="3" s="1"/>
  <c r="O364" i="3" s="1"/>
  <c r="Z127" i="3"/>
  <c r="AA127" i="3" s="1"/>
  <c r="O127" i="3" s="1"/>
  <c r="Z370" i="3"/>
  <c r="AA370" i="3" s="1"/>
  <c r="O370" i="3" s="1"/>
  <c r="Z374" i="3"/>
  <c r="AA374" i="3" s="1"/>
  <c r="O374" i="3" s="1"/>
  <c r="Z166" i="3"/>
  <c r="AA166" i="3" s="1"/>
  <c r="O166" i="3" s="1"/>
  <c r="Z384" i="3"/>
  <c r="AA384" i="3" s="1"/>
  <c r="O384" i="3" s="1"/>
  <c r="Z390" i="3"/>
  <c r="AA390" i="3" s="1"/>
  <c r="O390" i="3" s="1"/>
  <c r="Z391" i="3"/>
  <c r="AA391" i="3" s="1"/>
  <c r="O391" i="3" s="1"/>
  <c r="Z392" i="3"/>
  <c r="AA392" i="3" s="1"/>
  <c r="Z394" i="3"/>
  <c r="AA394" i="3" s="1"/>
  <c r="Z396" i="3"/>
  <c r="AA396" i="3" s="1"/>
  <c r="O396" i="3" s="1"/>
  <c r="Z397" i="3"/>
  <c r="AA397" i="3" s="1"/>
  <c r="Z398" i="3"/>
  <c r="AA398" i="3" s="1"/>
  <c r="O398" i="3" s="1"/>
  <c r="Z230" i="3"/>
  <c r="AA230" i="3" s="1"/>
  <c r="O230" i="3" s="1"/>
  <c r="Z231" i="3"/>
  <c r="AA231" i="3" s="1"/>
  <c r="O231" i="3" s="1"/>
  <c r="Z236" i="3"/>
  <c r="AA236" i="3" s="1"/>
  <c r="O236" i="3" s="1"/>
  <c r="Z403" i="3"/>
  <c r="AA403" i="3" s="1"/>
  <c r="O403" i="3" s="1"/>
  <c r="Z409" i="3"/>
  <c r="AA409" i="3" s="1"/>
  <c r="O409" i="3" s="1"/>
  <c r="Z410" i="3"/>
  <c r="AA410" i="3" s="1"/>
  <c r="O410" i="3" s="1"/>
  <c r="Z262" i="3"/>
  <c r="AA262" i="3" s="1"/>
  <c r="O262" i="3" s="1"/>
  <c r="Z411" i="3"/>
  <c r="AA411" i="3" s="1"/>
  <c r="O411" i="3" s="1"/>
  <c r="Z270" i="3"/>
  <c r="AA270" i="3" s="1"/>
  <c r="O270" i="3" s="1"/>
  <c r="Z414" i="3"/>
  <c r="AA414" i="3" s="1"/>
  <c r="O414" i="3" s="1"/>
  <c r="Z415" i="3"/>
  <c r="AA415" i="3" s="1"/>
  <c r="O415" i="3" s="1"/>
  <c r="Z416" i="3"/>
  <c r="AA416" i="3" s="1"/>
  <c r="O416" i="3" s="1"/>
  <c r="Z276" i="3"/>
  <c r="AA276" i="3" s="1"/>
  <c r="O276" i="3" s="1"/>
  <c r="Z417" i="3"/>
  <c r="AA417" i="3" s="1"/>
  <c r="O417" i="3" s="1"/>
  <c r="Z421" i="3"/>
  <c r="AA421" i="3" s="1"/>
  <c r="O421" i="3" s="1"/>
  <c r="Z423" i="3"/>
  <c r="AA423" i="3" s="1"/>
  <c r="O423" i="3" s="1"/>
  <c r="Z299" i="3"/>
  <c r="AA299" i="3" s="1"/>
  <c r="O299" i="3" s="1"/>
  <c r="Z300" i="3"/>
  <c r="AA300" i="3" s="1"/>
  <c r="O300" i="3" s="1"/>
  <c r="Z426" i="3"/>
  <c r="AA426" i="3" s="1"/>
  <c r="O426" i="3" s="1"/>
  <c r="Z316" i="3"/>
  <c r="AA316" i="3" s="1"/>
  <c r="Z429" i="3"/>
  <c r="AA429" i="3" s="1"/>
  <c r="Z430" i="3"/>
  <c r="AA430" i="3" s="1"/>
  <c r="O430" i="3" s="1"/>
  <c r="Z332" i="3"/>
  <c r="AA332" i="3" s="1"/>
  <c r="Z331" i="3"/>
  <c r="AA331" i="3" s="1"/>
  <c r="O331" i="3" s="1"/>
  <c r="Z333" i="3"/>
  <c r="AA333" i="3" s="1"/>
  <c r="O333" i="3" s="1"/>
  <c r="Z336" i="3"/>
  <c r="AA336" i="3" s="1"/>
  <c r="O336" i="3" s="1"/>
  <c r="Q336" i="3" s="1"/>
  <c r="Z24" i="3"/>
  <c r="AA24" i="3" s="1"/>
  <c r="O24" i="3" s="1"/>
  <c r="I435" i="3"/>
  <c r="I431" i="3"/>
  <c r="L334" i="3"/>
  <c r="M319" i="3"/>
  <c r="I313" i="3"/>
  <c r="J313" i="3"/>
  <c r="L313" i="3"/>
  <c r="M279" i="3"/>
  <c r="M268" i="3"/>
  <c r="J413" i="3"/>
  <c r="K256" i="3"/>
  <c r="L256" i="3"/>
  <c r="M256" i="3"/>
  <c r="M243" i="3"/>
  <c r="I399" i="3"/>
  <c r="I376" i="3"/>
  <c r="I369" i="3"/>
  <c r="I365" i="3"/>
  <c r="I366" i="3"/>
  <c r="I361" i="3"/>
  <c r="J361" i="3"/>
  <c r="J356" i="3"/>
  <c r="J357" i="3"/>
  <c r="I354" i="3"/>
  <c r="I94" i="3"/>
  <c r="J94" i="3"/>
  <c r="M94" i="3"/>
  <c r="I347" i="3"/>
  <c r="I350" i="3"/>
  <c r="J350" i="3"/>
  <c r="L76" i="3"/>
  <c r="I61" i="3"/>
  <c r="J61" i="3"/>
  <c r="L61" i="3"/>
  <c r="I340" i="3"/>
  <c r="M38" i="3"/>
  <c r="M31" i="3"/>
  <c r="Z54" i="3"/>
  <c r="AA54" i="3" s="1"/>
  <c r="O54" i="3" s="1"/>
  <c r="Z66" i="3"/>
  <c r="AA66" i="3" s="1"/>
  <c r="O66" i="3" s="1"/>
  <c r="Z274" i="3"/>
  <c r="AA274" i="3" s="1"/>
  <c r="O274" i="3" s="1"/>
  <c r="Z161" i="3"/>
  <c r="AA161" i="3" s="1"/>
  <c r="O161" i="3" s="1"/>
  <c r="Z163" i="3"/>
  <c r="AA163" i="3" s="1"/>
  <c r="O163" i="3" s="1"/>
  <c r="Z182" i="3"/>
  <c r="AA182" i="3" s="1"/>
  <c r="O182" i="3" s="1"/>
  <c r="Z189" i="3"/>
  <c r="AA189" i="3" s="1"/>
  <c r="O189" i="3" s="1"/>
  <c r="Z308" i="3"/>
  <c r="AA308" i="3" s="1"/>
  <c r="O308" i="3" s="1"/>
  <c r="Z259" i="3"/>
  <c r="AA259" i="3" s="1"/>
  <c r="O259" i="3" s="1"/>
  <c r="Z89" i="3"/>
  <c r="AA89" i="3" s="1"/>
  <c r="O89" i="3" s="1"/>
  <c r="Z73" i="3"/>
  <c r="AA73" i="3" s="1"/>
  <c r="O73" i="3" s="1"/>
  <c r="Z234" i="3"/>
  <c r="AA234" i="3" s="1"/>
  <c r="O234" i="3" s="1"/>
  <c r="Q234" i="3" s="1"/>
  <c r="Z198" i="3"/>
  <c r="AA198" i="3" s="1"/>
  <c r="Z277" i="3"/>
  <c r="AA277" i="3" s="1"/>
  <c r="O277" i="3" s="1"/>
  <c r="Z22" i="3"/>
  <c r="AA22" i="3" s="1"/>
  <c r="O22" i="3" s="1"/>
  <c r="N308" i="3"/>
  <c r="M308" i="3"/>
  <c r="N259" i="3"/>
  <c r="N189" i="3"/>
  <c r="L189" i="3"/>
  <c r="K189" i="3"/>
  <c r="N182" i="3"/>
  <c r="N163" i="3"/>
  <c r="N161" i="3"/>
  <c r="L161" i="3"/>
  <c r="K161" i="3"/>
  <c r="P89" i="3"/>
  <c r="N89" i="3"/>
  <c r="N73" i="3"/>
  <c r="M73" i="3"/>
  <c r="AE329" i="3"/>
  <c r="AK329" i="3" s="1"/>
  <c r="AL329" i="3" s="1"/>
  <c r="X329" i="3" s="1"/>
  <c r="Z329" i="3" s="1"/>
  <c r="AA329" i="3" s="1"/>
  <c r="O329" i="3" s="1"/>
  <c r="Q329" i="3" s="1"/>
  <c r="AH326" i="3"/>
  <c r="AG326" i="3"/>
  <c r="AI317" i="3"/>
  <c r="AH317" i="3"/>
  <c r="AF317" i="3"/>
  <c r="AE317" i="3"/>
  <c r="W317" i="3"/>
  <c r="V317" i="3"/>
  <c r="N317" i="3"/>
  <c r="AF305" i="3"/>
  <c r="AE305" i="3"/>
  <c r="V305" i="3"/>
  <c r="AK288" i="3"/>
  <c r="AL288" i="3" s="1"/>
  <c r="W288" i="3"/>
  <c r="U288" i="3"/>
  <c r="M288" i="3"/>
  <c r="AK274" i="3"/>
  <c r="AL274" i="3" s="1"/>
  <c r="N274" i="3"/>
  <c r="M274" i="3"/>
  <c r="L274" i="3"/>
  <c r="J274" i="3"/>
  <c r="AK266" i="3"/>
  <c r="AL266" i="3" s="1"/>
  <c r="U266" i="3"/>
  <c r="Z266" i="3" s="1"/>
  <c r="AA266" i="3" s="1"/>
  <c r="O266" i="3" s="1"/>
  <c r="N266" i="3"/>
  <c r="M266" i="3"/>
  <c r="K266" i="3"/>
  <c r="AH255" i="3"/>
  <c r="AK255" i="3" s="1"/>
  <c r="AL255" i="3" s="1"/>
  <c r="X255" i="3" s="1"/>
  <c r="W255" i="3"/>
  <c r="V255" i="3"/>
  <c r="U255" i="3"/>
  <c r="M255" i="3"/>
  <c r="L255" i="3"/>
  <c r="AK250" i="3"/>
  <c r="AL250" i="3" s="1"/>
  <c r="X250" i="3" s="1"/>
  <c r="Z250" i="3" s="1"/>
  <c r="AA250" i="3" s="1"/>
  <c r="V194" i="1"/>
  <c r="W194" i="1"/>
  <c r="AF194" i="1"/>
  <c r="AG194" i="1"/>
  <c r="AH194" i="1"/>
  <c r="AH238" i="3"/>
  <c r="AK238" i="3" s="1"/>
  <c r="AL238" i="3" s="1"/>
  <c r="X238" i="3" s="1"/>
  <c r="W238" i="3"/>
  <c r="U238" i="3"/>
  <c r="M238" i="3"/>
  <c r="AK234" i="3"/>
  <c r="AL234" i="3" s="1"/>
  <c r="AE232" i="3"/>
  <c r="AK232" i="3" s="1"/>
  <c r="AL232" i="3" s="1"/>
  <c r="X232" i="3" s="1"/>
  <c r="Z232" i="3" s="1"/>
  <c r="AA232" i="3" s="1"/>
  <c r="O232" i="3" s="1"/>
  <c r="Q232" i="3" s="1"/>
  <c r="AK224" i="3"/>
  <c r="AL224" i="3" s="1"/>
  <c r="W224" i="3"/>
  <c r="Z224" i="3" s="1"/>
  <c r="AA224" i="3" s="1"/>
  <c r="O224" i="3" s="1"/>
  <c r="Q224" i="3" s="1"/>
  <c r="AF218" i="3"/>
  <c r="AD218" i="3"/>
  <c r="AK214" i="3"/>
  <c r="AL214" i="3" s="1"/>
  <c r="W214" i="3"/>
  <c r="U214" i="3"/>
  <c r="N214" i="3"/>
  <c r="M214" i="3"/>
  <c r="AK204" i="3"/>
  <c r="AL204" i="3" s="1"/>
  <c r="V204" i="3"/>
  <c r="U204" i="3"/>
  <c r="AK198" i="3"/>
  <c r="AL198" i="3" s="1"/>
  <c r="AE187" i="3"/>
  <c r="AK187" i="3" s="1"/>
  <c r="AL187" i="3" s="1"/>
  <c r="X187" i="3" s="1"/>
  <c r="V187" i="3"/>
  <c r="AK177" i="3"/>
  <c r="AL177" i="3" s="1"/>
  <c r="X177" i="3" s="1"/>
  <c r="Z177" i="3" s="1"/>
  <c r="AA177" i="3" s="1"/>
  <c r="O177" i="3" s="1"/>
  <c r="Q177" i="3" s="1"/>
  <c r="AG173" i="3"/>
  <c r="AK173" i="3" s="1"/>
  <c r="AL173" i="3" s="1"/>
  <c r="X173" i="3" s="1"/>
  <c r="Z173" i="3" s="1"/>
  <c r="AA173" i="3" s="1"/>
  <c r="O173" i="3" s="1"/>
  <c r="M173" i="3"/>
  <c r="L173" i="3"/>
  <c r="J173" i="3"/>
  <c r="I173" i="3"/>
  <c r="AH170" i="3"/>
  <c r="AF170" i="3"/>
  <c r="W170" i="3"/>
  <c r="V170" i="3"/>
  <c r="U170" i="3"/>
  <c r="U169" i="3"/>
  <c r="V169" i="3"/>
  <c r="W169" i="3"/>
  <c r="AG169" i="3"/>
  <c r="AH169" i="3"/>
  <c r="AK151" i="3"/>
  <c r="AL151" i="3" s="1"/>
  <c r="W151" i="3"/>
  <c r="U151" i="3"/>
  <c r="N151" i="3"/>
  <c r="M151" i="3"/>
  <c r="AK150" i="3"/>
  <c r="AL150" i="3" s="1"/>
  <c r="U150" i="3"/>
  <c r="Z150" i="3" s="1"/>
  <c r="AA150" i="3" s="1"/>
  <c r="AK144" i="3"/>
  <c r="AL144" i="3" s="1"/>
  <c r="U144" i="3"/>
  <c r="Z144" i="3" s="1"/>
  <c r="AA144" i="3" s="1"/>
  <c r="O144" i="3" s="1"/>
  <c r="N144" i="3"/>
  <c r="K144" i="3"/>
  <c r="AE139" i="3"/>
  <c r="AK139" i="3" s="1"/>
  <c r="AL139" i="3" s="1"/>
  <c r="X139" i="3" s="1"/>
  <c r="Z139" i="3" s="1"/>
  <c r="AA139" i="3" s="1"/>
  <c r="O139" i="3" s="1"/>
  <c r="Q139" i="3" s="1"/>
  <c r="AF133" i="3"/>
  <c r="AK133" i="3" s="1"/>
  <c r="AL133" i="3" s="1"/>
  <c r="X133" i="3" s="1"/>
  <c r="Z133" i="3" s="1"/>
  <c r="AA133" i="3" s="1"/>
  <c r="O133" i="3" s="1"/>
  <c r="Q133" i="3" s="1"/>
  <c r="AC130" i="3"/>
  <c r="AK130" i="3" s="1"/>
  <c r="AL130" i="3" s="1"/>
  <c r="X130" i="3" s="1"/>
  <c r="Z130" i="3" s="1"/>
  <c r="AA130" i="3" s="1"/>
  <c r="O130" i="3" s="1"/>
  <c r="Q130" i="3" s="1"/>
  <c r="AK119" i="3"/>
  <c r="AL119" i="3" s="1"/>
  <c r="X119" i="3" s="1"/>
  <c r="Z119" i="3" s="1"/>
  <c r="AA119" i="3" s="1"/>
  <c r="O119" i="3" s="1"/>
  <c r="Q119" i="3" s="1"/>
  <c r="AG114" i="3"/>
  <c r="AF114" i="3"/>
  <c r="AE114" i="3"/>
  <c r="V114" i="3"/>
  <c r="U114" i="3"/>
  <c r="L114" i="3"/>
  <c r="AG113" i="3"/>
  <c r="AK113" i="3" s="1"/>
  <c r="AL113" i="3" s="1"/>
  <c r="X113" i="3" s="1"/>
  <c r="W113" i="3"/>
  <c r="U113" i="3"/>
  <c r="N113" i="3"/>
  <c r="M113" i="3"/>
  <c r="L113" i="3"/>
  <c r="K113" i="3"/>
  <c r="J113" i="3"/>
  <c r="I113" i="3"/>
  <c r="AE107" i="3"/>
  <c r="AK107" i="3" s="1"/>
  <c r="AL107" i="3" s="1"/>
  <c r="X107" i="3" s="1"/>
  <c r="U107" i="3"/>
  <c r="AK91" i="3"/>
  <c r="AL91" i="3" s="1"/>
  <c r="U91" i="3"/>
  <c r="Z91" i="3" s="1"/>
  <c r="AA91" i="3" s="1"/>
  <c r="O91" i="3" s="1"/>
  <c r="N91" i="3"/>
  <c r="M91" i="3"/>
  <c r="L91" i="3"/>
  <c r="AF79" i="3"/>
  <c r="AK79" i="3" s="1"/>
  <c r="AL79" i="3" s="1"/>
  <c r="X79" i="3" s="1"/>
  <c r="Z79" i="3" s="1"/>
  <c r="AA79" i="3" s="1"/>
  <c r="AH74" i="3"/>
  <c r="AF74" i="3"/>
  <c r="W74" i="3"/>
  <c r="V74" i="3"/>
  <c r="AF69" i="3"/>
  <c r="AD69" i="3"/>
  <c r="AK66" i="3"/>
  <c r="AL66" i="3" s="1"/>
  <c r="N66" i="3"/>
  <c r="M66" i="3"/>
  <c r="L66" i="3"/>
  <c r="K66" i="3"/>
  <c r="J66" i="3"/>
  <c r="I66" i="3"/>
  <c r="AG56" i="3"/>
  <c r="AF56" i="3"/>
  <c r="W56" i="3"/>
  <c r="AK54" i="3"/>
  <c r="AL54" i="3" s="1"/>
  <c r="N54" i="3"/>
  <c r="M54" i="3"/>
  <c r="L54" i="3"/>
  <c r="K54" i="3"/>
  <c r="J54" i="3"/>
  <c r="I54" i="3"/>
  <c r="AH52" i="3"/>
  <c r="AG52" i="3"/>
  <c r="W52" i="3"/>
  <c r="V52" i="3"/>
  <c r="U52" i="3"/>
  <c r="N52" i="3"/>
  <c r="M52" i="3"/>
  <c r="L52" i="3"/>
  <c r="I52" i="3"/>
  <c r="AE50" i="3"/>
  <c r="AK50" i="3" s="1"/>
  <c r="AL50" i="3" s="1"/>
  <c r="X50" i="3" s="1"/>
  <c r="Z50" i="3" s="1"/>
  <c r="AA50" i="3" s="1"/>
  <c r="AH44" i="3"/>
  <c r="AF44" i="3"/>
  <c r="AE44" i="3"/>
  <c r="W44" i="3"/>
  <c r="V44" i="3"/>
  <c r="AH28" i="3"/>
  <c r="AG28" i="3"/>
  <c r="Y28" i="3"/>
  <c r="V28" i="3"/>
  <c r="P28" i="3"/>
  <c r="N28" i="3"/>
  <c r="M28" i="3"/>
  <c r="L28" i="3"/>
  <c r="K28" i="3"/>
  <c r="AG26" i="3"/>
  <c r="AK26" i="3" s="1"/>
  <c r="AL26" i="3" s="1"/>
  <c r="X26" i="3" s="1"/>
  <c r="Z26" i="3" s="1"/>
  <c r="AA26" i="3" s="1"/>
  <c r="O26" i="3" s="1"/>
  <c r="M26" i="3"/>
  <c r="L26" i="3"/>
  <c r="J26" i="3"/>
  <c r="I26" i="3"/>
  <c r="Z20" i="3"/>
  <c r="AA20" i="3" s="1"/>
  <c r="O20" i="3" s="1"/>
  <c r="Q20" i="3" s="1"/>
  <c r="AK23" i="3"/>
  <c r="AL23" i="3" s="1"/>
  <c r="W23" i="3"/>
  <c r="Z23" i="3" s="1"/>
  <c r="AA23" i="3" s="1"/>
  <c r="O23" i="3" s="1"/>
  <c r="Q23" i="3" s="1"/>
  <c r="AI325" i="3"/>
  <c r="AH325" i="3"/>
  <c r="AF325" i="3"/>
  <c r="AD325" i="3"/>
  <c r="W325" i="3"/>
  <c r="V325" i="3"/>
  <c r="P325" i="3"/>
  <c r="N325" i="3"/>
  <c r="M325" i="3"/>
  <c r="L325" i="3"/>
  <c r="K325" i="3"/>
  <c r="J325" i="3"/>
  <c r="I325" i="3"/>
  <c r="AH307" i="3"/>
  <c r="AF307" i="3"/>
  <c r="W307" i="3"/>
  <c r="V307" i="3"/>
  <c r="U307" i="3"/>
  <c r="N307" i="3"/>
  <c r="M307" i="3"/>
  <c r="L307" i="3"/>
  <c r="K307" i="3"/>
  <c r="J307" i="3"/>
  <c r="I307" i="3"/>
  <c r="AK277" i="3"/>
  <c r="AL277" i="3" s="1"/>
  <c r="N277" i="3"/>
  <c r="M277" i="3"/>
  <c r="L277" i="3"/>
  <c r="K277" i="3"/>
  <c r="J277" i="3"/>
  <c r="I277" i="3"/>
  <c r="AI19" i="3"/>
  <c r="AH19" i="3"/>
  <c r="AG19" i="3"/>
  <c r="AF19" i="3"/>
  <c r="AE19" i="3"/>
  <c r="W19" i="3"/>
  <c r="V19" i="3"/>
  <c r="N19" i="3"/>
  <c r="M19" i="3"/>
  <c r="L19" i="3"/>
  <c r="K19" i="3"/>
  <c r="J19" i="3"/>
  <c r="I19" i="3"/>
  <c r="K263" i="3"/>
  <c r="L263" i="3"/>
  <c r="M263" i="3"/>
  <c r="P263" i="3"/>
  <c r="U263" i="3"/>
  <c r="V263" i="3"/>
  <c r="W263" i="3"/>
  <c r="AF263" i="3"/>
  <c r="AG263" i="3"/>
  <c r="AH263" i="3"/>
  <c r="J206" i="3"/>
  <c r="U206" i="3"/>
  <c r="V206" i="3"/>
  <c r="AI206" i="3"/>
  <c r="AK206" i="3" s="1"/>
  <c r="AL206" i="3" s="1"/>
  <c r="X206" i="3" s="1"/>
  <c r="I12" i="3"/>
  <c r="J12" i="3"/>
  <c r="K12" i="3"/>
  <c r="L12" i="3"/>
  <c r="N12" i="3"/>
  <c r="U12" i="3"/>
  <c r="V12" i="3"/>
  <c r="W12" i="3"/>
  <c r="AF12" i="3"/>
  <c r="AG12" i="3"/>
  <c r="AH12" i="3"/>
  <c r="AI12" i="3"/>
  <c r="J147" i="3"/>
  <c r="M147" i="3"/>
  <c r="N147" i="3"/>
  <c r="U147" i="3"/>
  <c r="V147" i="3"/>
  <c r="AK147" i="3"/>
  <c r="AL147" i="3" s="1"/>
  <c r="J68" i="3"/>
  <c r="K68" i="3"/>
  <c r="L68" i="3"/>
  <c r="M68" i="3"/>
  <c r="N68" i="3"/>
  <c r="U68" i="3"/>
  <c r="V68" i="3"/>
  <c r="W68" i="3"/>
  <c r="AF68" i="3"/>
  <c r="AG68" i="3"/>
  <c r="AH68" i="3"/>
  <c r="AI68" i="3"/>
  <c r="I6" i="3"/>
  <c r="J6" i="3"/>
  <c r="K6" i="3"/>
  <c r="L6" i="3"/>
  <c r="M6" i="3"/>
  <c r="U6" i="3"/>
  <c r="V6" i="3"/>
  <c r="W6" i="3"/>
  <c r="AE6" i="3"/>
  <c r="AF6" i="3"/>
  <c r="AG6" i="3"/>
  <c r="AH6" i="3"/>
  <c r="AI6" i="3"/>
  <c r="Z36" i="3"/>
  <c r="Z41" i="3"/>
  <c r="Z49" i="3"/>
  <c r="Z72" i="3"/>
  <c r="Z75" i="3"/>
  <c r="Z81" i="3"/>
  <c r="Z98" i="3"/>
  <c r="Z102" i="3"/>
  <c r="Z111" i="3"/>
  <c r="Z115" i="3"/>
  <c r="Z153" i="3"/>
  <c r="Z176" i="3"/>
  <c r="Z180" i="3"/>
  <c r="Z203" i="3"/>
  <c r="Z217" i="3"/>
  <c r="Z223" i="3"/>
  <c r="Z257" i="3"/>
  <c r="Z260" i="3"/>
  <c r="Z261" i="3"/>
  <c r="Z264" i="3"/>
  <c r="Z267" i="3"/>
  <c r="Z320" i="3"/>
  <c r="Z323" i="3"/>
  <c r="U45" i="3"/>
  <c r="V45" i="3"/>
  <c r="W45" i="3"/>
  <c r="AG45" i="3"/>
  <c r="AH45" i="3"/>
  <c r="AI45" i="3"/>
  <c r="I45" i="4"/>
  <c r="I44" i="4"/>
  <c r="I35" i="4"/>
  <c r="AF35" i="4"/>
  <c r="AH35" i="4"/>
  <c r="U33" i="4"/>
  <c r="V33" i="4"/>
  <c r="W33" i="4"/>
  <c r="AF33" i="4"/>
  <c r="AK33" i="4" s="1"/>
  <c r="AL33" i="4" s="1"/>
  <c r="X33" i="4" s="1"/>
  <c r="AE34" i="4"/>
  <c r="AF34" i="4"/>
  <c r="AI11" i="4"/>
  <c r="AK11" i="4" s="1"/>
  <c r="AL11" i="4" s="1"/>
  <c r="X11" i="4" s="1"/>
  <c r="Z11" i="4" s="1"/>
  <c r="AA11" i="4" s="1"/>
  <c r="O11" i="4" s="1"/>
  <c r="Q11" i="4" s="1"/>
  <c r="J6" i="4"/>
  <c r="K6" i="4"/>
  <c r="L6" i="4"/>
  <c r="M6" i="4"/>
  <c r="N6" i="4"/>
  <c r="T6" i="4"/>
  <c r="U6" i="4"/>
  <c r="V6" i="4"/>
  <c r="W6" i="4"/>
  <c r="AE6" i="4"/>
  <c r="AF6" i="4"/>
  <c r="AG6" i="4"/>
  <c r="AH6" i="4"/>
  <c r="AI6" i="4"/>
  <c r="Q7" i="2"/>
  <c r="R7" i="2" s="1"/>
  <c r="L136" i="6"/>
  <c r="L126" i="6"/>
  <c r="J206" i="6"/>
  <c r="M34" i="6"/>
  <c r="Q34" i="6" s="1"/>
  <c r="R34" i="6" s="1"/>
  <c r="D34" i="6" s="1"/>
  <c r="AF193" i="6"/>
  <c r="AK193" i="6" s="1"/>
  <c r="AL193" i="6" s="1"/>
  <c r="X193" i="6" s="1"/>
  <c r="Z193" i="6" s="1"/>
  <c r="AA193" i="6" s="1"/>
  <c r="O193" i="6" s="1"/>
  <c r="Q193" i="6" s="1"/>
  <c r="R193" i="6" s="1"/>
  <c r="D193" i="6" s="1"/>
  <c r="AF191" i="6"/>
  <c r="AK191" i="6" s="1"/>
  <c r="AL191" i="6" s="1"/>
  <c r="X191" i="6" s="1"/>
  <c r="Z191" i="6" s="1"/>
  <c r="AA191" i="6" s="1"/>
  <c r="O191" i="6" s="1"/>
  <c r="Q191" i="6" s="1"/>
  <c r="R191" i="6" s="1"/>
  <c r="D191" i="6" s="1"/>
  <c r="AJ189" i="6"/>
  <c r="AH189" i="6"/>
  <c r="AF189" i="6"/>
  <c r="Y189" i="6"/>
  <c r="W189" i="6"/>
  <c r="V189" i="6"/>
  <c r="P189" i="6"/>
  <c r="M189" i="6"/>
  <c r="L189" i="6"/>
  <c r="T187" i="6"/>
  <c r="Z187" i="6" s="1"/>
  <c r="AA187" i="6" s="1"/>
  <c r="O187" i="6" s="1"/>
  <c r="N187" i="6"/>
  <c r="AK179" i="6"/>
  <c r="AL179" i="6" s="1"/>
  <c r="X179" i="6" s="1"/>
  <c r="W179" i="6"/>
  <c r="AK176" i="6"/>
  <c r="AL176" i="6" s="1"/>
  <c r="X176" i="6" s="1"/>
  <c r="Z176" i="6" s="1"/>
  <c r="AA176" i="6" s="1"/>
  <c r="O176" i="6" s="1"/>
  <c r="Q176" i="6" s="1"/>
  <c r="R176" i="6" s="1"/>
  <c r="D176" i="6" s="1"/>
  <c r="AI175" i="6"/>
  <c r="AH175" i="6"/>
  <c r="AH171" i="6"/>
  <c r="AG171" i="6"/>
  <c r="AF171" i="6"/>
  <c r="W171" i="6"/>
  <c r="V171" i="6"/>
  <c r="U171" i="6"/>
  <c r="AD164" i="6"/>
  <c r="AK164" i="6" s="1"/>
  <c r="AL164" i="6" s="1"/>
  <c r="X164" i="6" s="1"/>
  <c r="Z164" i="6" s="1"/>
  <c r="AA164" i="6" s="1"/>
  <c r="O164" i="6" s="1"/>
  <c r="Q164" i="6" s="1"/>
  <c r="R164" i="6" s="1"/>
  <c r="D164" i="6" s="1"/>
  <c r="AJ163" i="6"/>
  <c r="AI163" i="6"/>
  <c r="AK163" i="6" s="1"/>
  <c r="M163" i="6"/>
  <c r="AH162" i="6"/>
  <c r="AG162" i="6"/>
  <c r="AE162" i="6"/>
  <c r="Y162" i="6"/>
  <c r="W162" i="6"/>
  <c r="V162" i="6"/>
  <c r="U162" i="6"/>
  <c r="T162" i="6"/>
  <c r="P162" i="6"/>
  <c r="M162" i="6"/>
  <c r="L162" i="6"/>
  <c r="N161" i="6"/>
  <c r="Q161" i="6" s="1"/>
  <c r="R161" i="6" s="1"/>
  <c r="D161" i="6" s="1"/>
  <c r="AC157" i="6"/>
  <c r="AK157" i="6" s="1"/>
  <c r="AL157" i="6" s="1"/>
  <c r="X157" i="6" s="1"/>
  <c r="V157" i="6"/>
  <c r="AF151" i="6"/>
  <c r="AK151" i="6" s="1"/>
  <c r="AL151" i="6" s="1"/>
  <c r="X151" i="6" s="1"/>
  <c r="Z151" i="6" s="1"/>
  <c r="AA151" i="6" s="1"/>
  <c r="O151" i="6" s="1"/>
  <c r="Q151" i="6" s="1"/>
  <c r="R151" i="6" s="1"/>
  <c r="D151" i="6" s="1"/>
  <c r="N150" i="6"/>
  <c r="Q150" i="6" s="1"/>
  <c r="R150" i="6" s="1"/>
  <c r="D150" i="6" s="1"/>
  <c r="AA202" i="6"/>
  <c r="O202" i="6" s="1"/>
  <c r="Q202" i="6" s="1"/>
  <c r="R202" i="6" s="1"/>
  <c r="M142" i="6"/>
  <c r="N142" i="6"/>
  <c r="P142" i="6"/>
  <c r="AF142" i="6"/>
  <c r="AK142" i="6" s="1"/>
  <c r="AL142" i="6" s="1"/>
  <c r="X142" i="6" s="1"/>
  <c r="Z142" i="6" s="1"/>
  <c r="AA142" i="6" s="1"/>
  <c r="O142" i="6" s="1"/>
  <c r="N144" i="6"/>
  <c r="Q144" i="6" s="1"/>
  <c r="R144" i="6" s="1"/>
  <c r="D144" i="6" s="1"/>
  <c r="V145" i="6"/>
  <c r="Z145" i="6" s="1"/>
  <c r="AA145" i="6" s="1"/>
  <c r="O145" i="6" s="1"/>
  <c r="Q145" i="6" s="1"/>
  <c r="R145" i="6" s="1"/>
  <c r="D145" i="6" s="1"/>
  <c r="AK139" i="6"/>
  <c r="AL139" i="6" s="1"/>
  <c r="X139" i="6" s="1"/>
  <c r="Z139" i="6" s="1"/>
  <c r="AA139" i="6" s="1"/>
  <c r="O139" i="6" s="1"/>
  <c r="Q139" i="6" s="1"/>
  <c r="R139" i="6" s="1"/>
  <c r="D139" i="6" s="1"/>
  <c r="AD135" i="6"/>
  <c r="AK135" i="6" s="1"/>
  <c r="AL135" i="6" s="1"/>
  <c r="X135" i="6" s="1"/>
  <c r="Z135" i="6" s="1"/>
  <c r="AA135" i="6" s="1"/>
  <c r="O135" i="6" s="1"/>
  <c r="Q135" i="6" s="1"/>
  <c r="R135" i="6" s="1"/>
  <c r="D135" i="6" s="1"/>
  <c r="M134" i="6"/>
  <c r="AD134" i="6"/>
  <c r="AF134" i="6"/>
  <c r="N125" i="6"/>
  <c r="Q125" i="6" s="1"/>
  <c r="R125" i="6" s="1"/>
  <c r="D125" i="6" s="1"/>
  <c r="N119" i="6"/>
  <c r="AF117" i="6"/>
  <c r="AK117" i="6" s="1"/>
  <c r="AL117" i="6" s="1"/>
  <c r="X117" i="6" s="1"/>
  <c r="Z117" i="6" s="1"/>
  <c r="AA117" i="6" s="1"/>
  <c r="O117" i="6" s="1"/>
  <c r="Q117" i="6" s="1"/>
  <c r="R117" i="6" s="1"/>
  <c r="D117" i="6" s="1"/>
  <c r="M112" i="6"/>
  <c r="N112" i="6"/>
  <c r="P112" i="6"/>
  <c r="U112" i="6"/>
  <c r="V112" i="6"/>
  <c r="W112" i="6"/>
  <c r="AK112" i="6"/>
  <c r="AL112" i="6" s="1"/>
  <c r="X112" i="6" s="1"/>
  <c r="N107" i="6"/>
  <c r="Q107" i="6" s="1"/>
  <c r="R107" i="6" s="1"/>
  <c r="D107" i="6" s="1"/>
  <c r="T107" i="6"/>
  <c r="Z107" i="6" s="1"/>
  <c r="AA107" i="6" s="1"/>
  <c r="O107" i="6" s="1"/>
  <c r="M108" i="6"/>
  <c r="N108" i="6"/>
  <c r="U108" i="6"/>
  <c r="Z108" i="6" s="1"/>
  <c r="AA108" i="6" s="1"/>
  <c r="O108" i="6" s="1"/>
  <c r="U95" i="6"/>
  <c r="AH95" i="6"/>
  <c r="AI95" i="6"/>
  <c r="V96" i="6"/>
  <c r="AH96" i="6"/>
  <c r="AK96" i="6" s="1"/>
  <c r="AL96" i="6" s="1"/>
  <c r="X96" i="6" s="1"/>
  <c r="L99" i="6"/>
  <c r="M99" i="6"/>
  <c r="N99" i="6"/>
  <c r="T99" i="6"/>
  <c r="Z99" i="6" s="1"/>
  <c r="AA99" i="6" s="1"/>
  <c r="O99" i="6" s="1"/>
  <c r="L93" i="6"/>
  <c r="M93" i="6"/>
  <c r="N93" i="6"/>
  <c r="T93" i="6"/>
  <c r="Z93" i="6" s="1"/>
  <c r="AA93" i="6" s="1"/>
  <c r="O93" i="6" s="1"/>
  <c r="AD91" i="6"/>
  <c r="AK91" i="6" s="1"/>
  <c r="AL91" i="6" s="1"/>
  <c r="X91" i="6" s="1"/>
  <c r="Z91" i="6" s="1"/>
  <c r="AA91" i="6" s="1"/>
  <c r="O91" i="6" s="1"/>
  <c r="Q91" i="6" s="1"/>
  <c r="R91" i="6" s="1"/>
  <c r="D91" i="6" s="1"/>
  <c r="N89" i="6"/>
  <c r="T89" i="6"/>
  <c r="U89" i="6"/>
  <c r="U84" i="6"/>
  <c r="V84" i="6"/>
  <c r="W84" i="6"/>
  <c r="AH84" i="6"/>
  <c r="AK84" i="6" s="1"/>
  <c r="AL84" i="6" s="1"/>
  <c r="X84" i="6" s="1"/>
  <c r="AH81" i="6"/>
  <c r="AK81" i="6" s="1"/>
  <c r="AL81" i="6" s="1"/>
  <c r="X81" i="6" s="1"/>
  <c r="Z81" i="6" s="1"/>
  <c r="AA81" i="6" s="1"/>
  <c r="O81" i="6" s="1"/>
  <c r="Q81" i="6" s="1"/>
  <c r="R81" i="6" s="1"/>
  <c r="D81" i="6" s="1"/>
  <c r="AF83" i="6"/>
  <c r="AK83" i="6" s="1"/>
  <c r="AL83" i="6" s="1"/>
  <c r="X83" i="6" s="1"/>
  <c r="Z83" i="6" s="1"/>
  <c r="AA83" i="6" s="1"/>
  <c r="O83" i="6" s="1"/>
  <c r="Q83" i="6" s="1"/>
  <c r="R83" i="6" s="1"/>
  <c r="D83" i="6" s="1"/>
  <c r="AI74" i="6"/>
  <c r="AK74" i="6" s="1"/>
  <c r="AL74" i="6" s="1"/>
  <c r="X74" i="6" s="1"/>
  <c r="Z74" i="6" s="1"/>
  <c r="AA74" i="6" s="1"/>
  <c r="O74" i="6" s="1"/>
  <c r="Q74" i="6" s="1"/>
  <c r="R74" i="6" s="1"/>
  <c r="D74" i="6" s="1"/>
  <c r="U75" i="6"/>
  <c r="W75" i="6"/>
  <c r="AH75" i="6"/>
  <c r="AK75" i="6" s="1"/>
  <c r="AL75" i="6" s="1"/>
  <c r="X75" i="6" s="1"/>
  <c r="T77" i="6"/>
  <c r="U77" i="6"/>
  <c r="V77" i="6"/>
  <c r="W77" i="6"/>
  <c r="AC77" i="6"/>
  <c r="AE77" i="6"/>
  <c r="AF77" i="6"/>
  <c r="AG77" i="6"/>
  <c r="AH77" i="6"/>
  <c r="K78" i="6"/>
  <c r="L78" i="6"/>
  <c r="M78" i="6"/>
  <c r="N78" i="6"/>
  <c r="X78" i="6"/>
  <c r="Z78" i="6" s="1"/>
  <c r="AA78" i="6" s="1"/>
  <c r="O78" i="6" s="1"/>
  <c r="U72" i="6"/>
  <c r="V72" i="6"/>
  <c r="AD72" i="6"/>
  <c r="AF72" i="6"/>
  <c r="AG72" i="6"/>
  <c r="V70" i="6"/>
  <c r="Z70" i="6" s="1"/>
  <c r="AA70" i="6" s="1"/>
  <c r="O70" i="6" s="1"/>
  <c r="Q70" i="6" s="1"/>
  <c r="R70" i="6" s="1"/>
  <c r="D70" i="6" s="1"/>
  <c r="AE67" i="6"/>
  <c r="AF67" i="6"/>
  <c r="AD63" i="6"/>
  <c r="AK63" i="6" s="1"/>
  <c r="AL63" i="6" s="1"/>
  <c r="X63" i="6" s="1"/>
  <c r="Z63" i="6" s="1"/>
  <c r="AA63" i="6" s="1"/>
  <c r="O63" i="6" s="1"/>
  <c r="Q63" i="6" s="1"/>
  <c r="R63" i="6" s="1"/>
  <c r="D63" i="6" s="1"/>
  <c r="T60" i="6"/>
  <c r="Z60" i="6" s="1"/>
  <c r="AA60" i="6" s="1"/>
  <c r="O60" i="6" s="1"/>
  <c r="Q60" i="6" s="1"/>
  <c r="R60" i="6" s="1"/>
  <c r="D60" i="6" s="1"/>
  <c r="M57" i="6"/>
  <c r="N57" i="6"/>
  <c r="P57" i="6"/>
  <c r="V57" i="6"/>
  <c r="Z57" i="6" s="1"/>
  <c r="AA57" i="6" s="1"/>
  <c r="O57" i="6" s="1"/>
  <c r="V55" i="6"/>
  <c r="X55" i="6"/>
  <c r="AD50" i="6"/>
  <c r="AK50" i="6" s="1"/>
  <c r="AL50" i="6" s="1"/>
  <c r="X50" i="6" s="1"/>
  <c r="Z50" i="6" s="1"/>
  <c r="AA50" i="6" s="1"/>
  <c r="O50" i="6" s="1"/>
  <c r="Q50" i="6" s="1"/>
  <c r="R50" i="6" s="1"/>
  <c r="D50" i="6" s="1"/>
  <c r="AH47" i="6"/>
  <c r="AI47" i="6"/>
  <c r="AJ47" i="6"/>
  <c r="AE44" i="6"/>
  <c r="AI44" i="6"/>
  <c r="AE45" i="6"/>
  <c r="AK45" i="6" s="1"/>
  <c r="AL45" i="6" s="1"/>
  <c r="X45" i="6" s="1"/>
  <c r="Z45" i="6" s="1"/>
  <c r="AA45" i="6" s="1"/>
  <c r="O45" i="6" s="1"/>
  <c r="Q45" i="6" s="1"/>
  <c r="R45" i="6" s="1"/>
  <c r="D45" i="6" s="1"/>
  <c r="AH40" i="6"/>
  <c r="AI40" i="6"/>
  <c r="AJ40" i="6"/>
  <c r="U38" i="6"/>
  <c r="V38" i="6"/>
  <c r="W38" i="6"/>
  <c r="AE38" i="6"/>
  <c r="AH38" i="6"/>
  <c r="X30" i="6"/>
  <c r="Z30" i="6" s="1"/>
  <c r="AA30" i="6" s="1"/>
  <c r="O30" i="6" s="1"/>
  <c r="Q30" i="6" s="1"/>
  <c r="R30" i="6" s="1"/>
  <c r="D30" i="6" s="1"/>
  <c r="L31" i="6"/>
  <c r="M31" i="6"/>
  <c r="N31" i="6"/>
  <c r="P31" i="6"/>
  <c r="AH27" i="6"/>
  <c r="AK27" i="6" s="1"/>
  <c r="AJ27" i="6"/>
  <c r="M25" i="6"/>
  <c r="N25" i="6"/>
  <c r="V25" i="6"/>
  <c r="Z25" i="6" s="1"/>
  <c r="AA25" i="6" s="1"/>
  <c r="O25" i="6" s="1"/>
  <c r="AH26" i="6"/>
  <c r="AK26" i="6" s="1"/>
  <c r="AJ26" i="6"/>
  <c r="J143" i="6"/>
  <c r="M143" i="6"/>
  <c r="N143" i="6"/>
  <c r="P143" i="6"/>
  <c r="U143" i="6"/>
  <c r="V143" i="6"/>
  <c r="W143" i="6"/>
  <c r="Y143" i="6"/>
  <c r="AI143" i="6"/>
  <c r="AK143" i="6" s="1"/>
  <c r="AL143" i="6" s="1"/>
  <c r="X143" i="6" s="1"/>
  <c r="L20" i="6"/>
  <c r="M20" i="6"/>
  <c r="U20" i="6"/>
  <c r="V20" i="6"/>
  <c r="W20" i="6"/>
  <c r="Y20" i="6"/>
  <c r="AF20" i="6"/>
  <c r="AG20" i="6"/>
  <c r="AH20" i="6"/>
  <c r="AI20" i="6"/>
  <c r="AJ20" i="6"/>
  <c r="V198" i="6"/>
  <c r="Z198" i="6" s="1"/>
  <c r="I19" i="6"/>
  <c r="L19" i="6"/>
  <c r="M19" i="6"/>
  <c r="N19" i="6"/>
  <c r="P19" i="6"/>
  <c r="T19" i="6"/>
  <c r="U19" i="6"/>
  <c r="V19" i="6"/>
  <c r="AF19" i="6"/>
  <c r="AG19" i="6"/>
  <c r="AH19" i="6"/>
  <c r="Q425" i="6"/>
  <c r="R425" i="6" s="1"/>
  <c r="Q424" i="6"/>
  <c r="R424" i="6" s="1"/>
  <c r="Q423" i="6"/>
  <c r="R423" i="6" s="1"/>
  <c r="Q422" i="6"/>
  <c r="R422" i="6" s="1"/>
  <c r="Q421" i="6"/>
  <c r="R421" i="6" s="1"/>
  <c r="Q420" i="6"/>
  <c r="R420" i="6" s="1"/>
  <c r="Q419" i="6"/>
  <c r="R419" i="6" s="1"/>
  <c r="Q418" i="6"/>
  <c r="R418" i="6" s="1"/>
  <c r="Q417" i="6"/>
  <c r="R417" i="6" s="1"/>
  <c r="Q416" i="6"/>
  <c r="R416" i="6" s="1"/>
  <c r="Q415" i="6"/>
  <c r="R415" i="6" s="1"/>
  <c r="Q414" i="6"/>
  <c r="R414" i="6" s="1"/>
  <c r="Q413" i="6"/>
  <c r="R413" i="6" s="1"/>
  <c r="Q412" i="6"/>
  <c r="R412" i="6" s="1"/>
  <c r="Q411" i="6"/>
  <c r="R411" i="6" s="1"/>
  <c r="Q410" i="6"/>
  <c r="R410" i="6" s="1"/>
  <c r="Q409" i="6"/>
  <c r="R409" i="6" s="1"/>
  <c r="Q408" i="6"/>
  <c r="R408" i="6" s="1"/>
  <c r="Q407" i="6"/>
  <c r="R407" i="6" s="1"/>
  <c r="Q406" i="6"/>
  <c r="R406" i="6" s="1"/>
  <c r="Q405" i="6"/>
  <c r="R405" i="6" s="1"/>
  <c r="Q404" i="6"/>
  <c r="R404" i="6" s="1"/>
  <c r="Q403" i="6"/>
  <c r="R403" i="6" s="1"/>
  <c r="Q402" i="6"/>
  <c r="R402" i="6" s="1"/>
  <c r="Q401" i="6"/>
  <c r="R401" i="6" s="1"/>
  <c r="Q400" i="6"/>
  <c r="R400" i="6" s="1"/>
  <c r="Q399" i="6"/>
  <c r="R399" i="6" s="1"/>
  <c r="Q398" i="6"/>
  <c r="R398" i="6" s="1"/>
  <c r="Q397" i="6"/>
  <c r="R397" i="6" s="1"/>
  <c r="Q396" i="6"/>
  <c r="R396" i="6" s="1"/>
  <c r="Q395" i="6"/>
  <c r="R395" i="6" s="1"/>
  <c r="Q394" i="6"/>
  <c r="R394" i="6" s="1"/>
  <c r="Q393" i="6"/>
  <c r="R393" i="6" s="1"/>
  <c r="Q392" i="6"/>
  <c r="R392" i="6" s="1"/>
  <c r="Q391" i="6"/>
  <c r="R391" i="6" s="1"/>
  <c r="Q390" i="6"/>
  <c r="R390" i="6" s="1"/>
  <c r="Q389" i="6"/>
  <c r="R389" i="6" s="1"/>
  <c r="Q388" i="6"/>
  <c r="R388" i="6" s="1"/>
  <c r="Q387" i="6"/>
  <c r="R387" i="6" s="1"/>
  <c r="Q386" i="6"/>
  <c r="R386" i="6" s="1"/>
  <c r="Q385" i="6"/>
  <c r="R385" i="6" s="1"/>
  <c r="Q384" i="6"/>
  <c r="R384" i="6" s="1"/>
  <c r="Q383" i="6"/>
  <c r="R383" i="6" s="1"/>
  <c r="Q382" i="6"/>
  <c r="R382" i="6" s="1"/>
  <c r="Q381" i="6"/>
  <c r="R381" i="6" s="1"/>
  <c r="Q380" i="6"/>
  <c r="R380" i="6" s="1"/>
  <c r="Q379" i="6"/>
  <c r="R379" i="6" s="1"/>
  <c r="Q378" i="6"/>
  <c r="R378" i="6" s="1"/>
  <c r="Q377" i="6"/>
  <c r="R377" i="6" s="1"/>
  <c r="Q376" i="6"/>
  <c r="R376" i="6" s="1"/>
  <c r="Q375" i="6"/>
  <c r="R375" i="6" s="1"/>
  <c r="Q374" i="6"/>
  <c r="R374" i="6" s="1"/>
  <c r="Q373" i="6"/>
  <c r="R373" i="6" s="1"/>
  <c r="Q372" i="6"/>
  <c r="R372" i="6" s="1"/>
  <c r="Q371" i="6"/>
  <c r="R371" i="6" s="1"/>
  <c r="Q370" i="6"/>
  <c r="R370" i="6" s="1"/>
  <c r="Q369" i="6"/>
  <c r="R369" i="6" s="1"/>
  <c r="Q368" i="6"/>
  <c r="R368" i="6" s="1"/>
  <c r="Q367" i="6"/>
  <c r="R367" i="6" s="1"/>
  <c r="Q366" i="6"/>
  <c r="R366" i="6" s="1"/>
  <c r="Q365" i="6"/>
  <c r="R365" i="6" s="1"/>
  <c r="Q364" i="6"/>
  <c r="R364" i="6" s="1"/>
  <c r="Q363" i="6"/>
  <c r="R363" i="6" s="1"/>
  <c r="Q362" i="6"/>
  <c r="R362" i="6" s="1"/>
  <c r="Q361" i="6"/>
  <c r="R361" i="6" s="1"/>
  <c r="Q360" i="6"/>
  <c r="R360" i="6" s="1"/>
  <c r="Q359" i="6"/>
  <c r="R359" i="6" s="1"/>
  <c r="Q358" i="6"/>
  <c r="R358" i="6" s="1"/>
  <c r="Q357" i="6"/>
  <c r="R357" i="6" s="1"/>
  <c r="Q356" i="6"/>
  <c r="R356" i="6" s="1"/>
  <c r="Q355" i="6"/>
  <c r="R355" i="6" s="1"/>
  <c r="Q354" i="6"/>
  <c r="R354" i="6" s="1"/>
  <c r="Q353" i="6"/>
  <c r="R353" i="6" s="1"/>
  <c r="Q352" i="6"/>
  <c r="R352" i="6" s="1"/>
  <c r="Q351" i="6"/>
  <c r="R351" i="6" s="1"/>
  <c r="Q350" i="6"/>
  <c r="R350" i="6" s="1"/>
  <c r="Q349" i="6"/>
  <c r="R349" i="6" s="1"/>
  <c r="Q348" i="6"/>
  <c r="R348" i="6" s="1"/>
  <c r="Q347" i="6"/>
  <c r="R347" i="6" s="1"/>
  <c r="Q346" i="6"/>
  <c r="R346" i="6" s="1"/>
  <c r="Q345" i="6"/>
  <c r="R345" i="6" s="1"/>
  <c r="Q344" i="6"/>
  <c r="R344" i="6" s="1"/>
  <c r="Q343" i="6"/>
  <c r="R343" i="6" s="1"/>
  <c r="Q342" i="6"/>
  <c r="R342" i="6" s="1"/>
  <c r="Q341" i="6"/>
  <c r="R341" i="6" s="1"/>
  <c r="Q340" i="6"/>
  <c r="R340" i="6" s="1"/>
  <c r="Q339" i="6"/>
  <c r="R339" i="6" s="1"/>
  <c r="Q338" i="6"/>
  <c r="R338" i="6" s="1"/>
  <c r="Q337" i="6"/>
  <c r="R337" i="6" s="1"/>
  <c r="Q336" i="6"/>
  <c r="R336" i="6" s="1"/>
  <c r="Q335" i="6"/>
  <c r="R335" i="6" s="1"/>
  <c r="Q334" i="6"/>
  <c r="R334" i="6" s="1"/>
  <c r="Q333" i="6"/>
  <c r="R333" i="6" s="1"/>
  <c r="Q332" i="6"/>
  <c r="R332" i="6" s="1"/>
  <c r="Q331" i="6"/>
  <c r="R331" i="6" s="1"/>
  <c r="Q330" i="6"/>
  <c r="R330" i="6" s="1"/>
  <c r="Q329" i="6"/>
  <c r="R329" i="6" s="1"/>
  <c r="Q328" i="6"/>
  <c r="R328" i="6" s="1"/>
  <c r="Q327" i="6"/>
  <c r="R327" i="6" s="1"/>
  <c r="Q326" i="6"/>
  <c r="R326" i="6" s="1"/>
  <c r="Q325" i="6"/>
  <c r="R325" i="6" s="1"/>
  <c r="Q324" i="6"/>
  <c r="R324" i="6" s="1"/>
  <c r="Q323" i="6"/>
  <c r="R323" i="6" s="1"/>
  <c r="Q322" i="6"/>
  <c r="R322" i="6" s="1"/>
  <c r="Q321" i="6"/>
  <c r="R321" i="6" s="1"/>
  <c r="Q320" i="6"/>
  <c r="R320" i="6" s="1"/>
  <c r="Q319" i="6"/>
  <c r="R319" i="6" s="1"/>
  <c r="Q318" i="6"/>
  <c r="R318" i="6" s="1"/>
  <c r="Q317" i="6"/>
  <c r="R317" i="6" s="1"/>
  <c r="Q316" i="6"/>
  <c r="R316" i="6" s="1"/>
  <c r="Q315" i="6"/>
  <c r="R315" i="6" s="1"/>
  <c r="Q314" i="6"/>
  <c r="R314" i="6" s="1"/>
  <c r="Q313" i="6"/>
  <c r="R313" i="6" s="1"/>
  <c r="Q312" i="6"/>
  <c r="R312" i="6" s="1"/>
  <c r="Q311" i="6"/>
  <c r="R311" i="6" s="1"/>
  <c r="Q310" i="6"/>
  <c r="R310" i="6" s="1"/>
  <c r="Q309" i="6"/>
  <c r="R309" i="6" s="1"/>
  <c r="Q308" i="6"/>
  <c r="R308" i="6" s="1"/>
  <c r="Q307" i="6"/>
  <c r="R307" i="6" s="1"/>
  <c r="Q306" i="6"/>
  <c r="R306" i="6" s="1"/>
  <c r="Q305" i="6"/>
  <c r="R305" i="6" s="1"/>
  <c r="Q304" i="6"/>
  <c r="R304" i="6" s="1"/>
  <c r="Q303" i="6"/>
  <c r="R303" i="6" s="1"/>
  <c r="Q302" i="6"/>
  <c r="R302" i="6" s="1"/>
  <c r="Q301" i="6"/>
  <c r="R301" i="6" s="1"/>
  <c r="Q300" i="6"/>
  <c r="R300" i="6" s="1"/>
  <c r="Q299" i="6"/>
  <c r="R299" i="6" s="1"/>
  <c r="Q298" i="6"/>
  <c r="R298" i="6" s="1"/>
  <c r="Q297" i="6"/>
  <c r="R297" i="6" s="1"/>
  <c r="Q296" i="6"/>
  <c r="R296" i="6" s="1"/>
  <c r="Q295" i="6"/>
  <c r="R295" i="6" s="1"/>
  <c r="Q294" i="6"/>
  <c r="R294" i="6" s="1"/>
  <c r="Q293" i="6"/>
  <c r="R293" i="6" s="1"/>
  <c r="Q292" i="6"/>
  <c r="R292" i="6" s="1"/>
  <c r="Q291" i="6"/>
  <c r="R291" i="6" s="1"/>
  <c r="Q290" i="6"/>
  <c r="R290" i="6" s="1"/>
  <c r="Q289" i="6"/>
  <c r="R289" i="6" s="1"/>
  <c r="Q288" i="6"/>
  <c r="R288" i="6" s="1"/>
  <c r="Q287" i="6"/>
  <c r="R287" i="6" s="1"/>
  <c r="Q286" i="6"/>
  <c r="R286" i="6" s="1"/>
  <c r="Q285" i="6"/>
  <c r="R285" i="6" s="1"/>
  <c r="Q284" i="6"/>
  <c r="R284" i="6" s="1"/>
  <c r="Q283" i="6"/>
  <c r="R283" i="6" s="1"/>
  <c r="Q282" i="6"/>
  <c r="R282" i="6" s="1"/>
  <c r="Q281" i="6"/>
  <c r="R281" i="6" s="1"/>
  <c r="Q280" i="6"/>
  <c r="R280" i="6" s="1"/>
  <c r="Q279" i="6"/>
  <c r="R279" i="6" s="1"/>
  <c r="Q278" i="6"/>
  <c r="R278" i="6" s="1"/>
  <c r="R277" i="6"/>
  <c r="R276" i="6"/>
  <c r="R275" i="6"/>
  <c r="R274" i="6"/>
  <c r="R273" i="6"/>
  <c r="R272" i="6"/>
  <c r="R271" i="6"/>
  <c r="R270" i="6"/>
  <c r="R269" i="6"/>
  <c r="R268" i="6"/>
  <c r="R267" i="6"/>
  <c r="R266" i="6"/>
  <c r="R265" i="6"/>
  <c r="R264" i="6"/>
  <c r="R263" i="6"/>
  <c r="R262" i="6"/>
  <c r="R261" i="6"/>
  <c r="R260" i="6"/>
  <c r="R259" i="6"/>
  <c r="R258" i="6"/>
  <c r="R257" i="6"/>
  <c r="R256" i="6"/>
  <c r="R255" i="6"/>
  <c r="R254" i="6"/>
  <c r="R253" i="6"/>
  <c r="R252" i="6"/>
  <c r="R251" i="6"/>
  <c r="R250" i="6"/>
  <c r="R249" i="6"/>
  <c r="R248" i="6"/>
  <c r="R247" i="6"/>
  <c r="R246" i="6"/>
  <c r="R245" i="6"/>
  <c r="R244" i="6"/>
  <c r="R243" i="6"/>
  <c r="R242" i="6"/>
  <c r="R241" i="6"/>
  <c r="R240" i="6"/>
  <c r="R239" i="6"/>
  <c r="R238" i="6"/>
  <c r="R237" i="6"/>
  <c r="U11" i="6"/>
  <c r="V11" i="6"/>
  <c r="AF11" i="6"/>
  <c r="AG11" i="6"/>
  <c r="AH11" i="6"/>
  <c r="L68" i="6"/>
  <c r="P68" i="6"/>
  <c r="T68" i="6"/>
  <c r="V68" i="6"/>
  <c r="AE68" i="6"/>
  <c r="AG68" i="6"/>
  <c r="AH68" i="6"/>
  <c r="AI68" i="6"/>
  <c r="I16" i="3"/>
  <c r="I15" i="3"/>
  <c r="I83" i="3"/>
  <c r="I272" i="3"/>
  <c r="I417" i="3"/>
  <c r="I398" i="3"/>
  <c r="I176" i="3"/>
  <c r="I138" i="3"/>
  <c r="I283" i="3"/>
  <c r="I410" i="3"/>
  <c r="I362" i="3"/>
  <c r="I384" i="3"/>
  <c r="I392" i="3"/>
  <c r="I22" i="1"/>
  <c r="I9" i="1"/>
  <c r="I10" i="1"/>
  <c r="I8" i="1"/>
  <c r="I23" i="1"/>
  <c r="I11" i="1"/>
  <c r="I13" i="1"/>
  <c r="I25" i="1"/>
  <c r="I24" i="1"/>
  <c r="I95" i="1"/>
  <c r="I69" i="1"/>
  <c r="I15" i="1"/>
  <c r="I12" i="1"/>
  <c r="I45" i="1"/>
  <c r="I229" i="1"/>
  <c r="I79" i="1"/>
  <c r="I93" i="1"/>
  <c r="I17" i="1"/>
  <c r="I158" i="1"/>
  <c r="I77" i="1"/>
  <c r="I292" i="1"/>
  <c r="I185" i="1"/>
  <c r="I298" i="1"/>
  <c r="I267" i="1"/>
  <c r="I260" i="1"/>
  <c r="I286" i="1"/>
  <c r="I202" i="1"/>
  <c r="I94" i="1"/>
  <c r="I252" i="1"/>
  <c r="I326" i="1"/>
  <c r="I191" i="1"/>
  <c r="I119" i="1"/>
  <c r="I261" i="1"/>
  <c r="I308" i="1"/>
  <c r="I363" i="1"/>
  <c r="I264" i="1"/>
  <c r="I209" i="1"/>
  <c r="I48" i="1"/>
  <c r="I172" i="6"/>
  <c r="I10" i="6"/>
  <c r="I9" i="6"/>
  <c r="H18" i="8"/>
  <c r="H17" i="8"/>
  <c r="I14" i="3"/>
  <c r="I41" i="4"/>
  <c r="I12" i="4"/>
  <c r="I191" i="3"/>
  <c r="I430" i="3"/>
  <c r="I415" i="3"/>
  <c r="I421" i="3"/>
  <c r="I341" i="3"/>
  <c r="I390" i="3"/>
  <c r="I11" i="3"/>
  <c r="I8" i="3"/>
  <c r="I9" i="3"/>
  <c r="I64" i="3"/>
  <c r="I121" i="3"/>
  <c r="I240" i="3"/>
  <c r="I136" i="3"/>
  <c r="I346" i="3"/>
  <c r="I416" i="3"/>
  <c r="I132" i="3"/>
  <c r="I141" i="3"/>
  <c r="I93" i="3"/>
  <c r="I311" i="3"/>
  <c r="I17" i="4"/>
  <c r="I397" i="3"/>
  <c r="I374" i="3"/>
  <c r="I423" i="3"/>
  <c r="I268" i="1"/>
  <c r="I352" i="3"/>
  <c r="I364" i="3"/>
  <c r="I311" i="1"/>
  <c r="I414" i="3"/>
  <c r="I275" i="1"/>
  <c r="I394" i="3"/>
  <c r="I391" i="3"/>
  <c r="I411" i="3"/>
  <c r="I429" i="3"/>
  <c r="I426" i="3"/>
  <c r="I325" i="1"/>
  <c r="I312" i="1"/>
  <c r="I337" i="1"/>
  <c r="I74" i="1"/>
  <c r="I317" i="1"/>
  <c r="I313" i="1"/>
  <c r="I368" i="1"/>
  <c r="I269" i="1"/>
  <c r="I367" i="1"/>
  <c r="I277" i="1"/>
  <c r="I358" i="1"/>
  <c r="I329" i="1"/>
  <c r="I274" i="1"/>
  <c r="I82" i="1"/>
  <c r="I359" i="1"/>
  <c r="I314" i="1"/>
  <c r="I328" i="1"/>
  <c r="I290" i="1"/>
  <c r="I20" i="1"/>
  <c r="I26" i="1"/>
  <c r="I6" i="1"/>
  <c r="I310" i="1"/>
  <c r="I29" i="1"/>
  <c r="I214" i="1"/>
  <c r="I28" i="1"/>
  <c r="I101" i="1"/>
  <c r="I65" i="1"/>
  <c r="I201" i="1"/>
  <c r="I180" i="1"/>
  <c r="I213" i="1"/>
  <c r="I140" i="1"/>
  <c r="I248" i="1"/>
  <c r="I142" i="1"/>
  <c r="I159" i="1"/>
  <c r="I110" i="1"/>
  <c r="I254" i="1"/>
  <c r="I33" i="1"/>
  <c r="I365" i="1"/>
  <c r="I339" i="1"/>
  <c r="I88" i="1"/>
  <c r="I141" i="1"/>
  <c r="I304" i="1"/>
  <c r="I342" i="1"/>
  <c r="I296" i="1"/>
  <c r="I340" i="1"/>
  <c r="I333" i="1"/>
  <c r="I289" i="1"/>
  <c r="I157" i="1"/>
  <c r="I291" i="1"/>
  <c r="I360" i="1"/>
  <c r="I255" i="1"/>
  <c r="I282" i="1"/>
  <c r="I59" i="1"/>
  <c r="I124" i="1"/>
  <c r="I305" i="1"/>
  <c r="I321" i="1"/>
  <c r="I347" i="1"/>
  <c r="I15" i="5"/>
  <c r="I27" i="5"/>
  <c r="I18" i="5"/>
  <c r="I12" i="5"/>
  <c r="I26" i="5"/>
  <c r="I25" i="5"/>
  <c r="I39" i="5"/>
  <c r="I42" i="5"/>
  <c r="I30" i="5"/>
  <c r="I36" i="5"/>
  <c r="I38" i="5"/>
  <c r="I41" i="5"/>
  <c r="I31" i="5"/>
  <c r="Q31" i="5" s="1"/>
  <c r="R31" i="5" s="1"/>
  <c r="I33" i="5"/>
  <c r="I37" i="5"/>
  <c r="I40" i="5"/>
  <c r="I23" i="5"/>
  <c r="I28" i="5"/>
  <c r="J282" i="3"/>
  <c r="J10" i="3"/>
  <c r="J15" i="3"/>
  <c r="J16" i="3"/>
  <c r="J14" i="3"/>
  <c r="J7" i="3"/>
  <c r="J145" i="3"/>
  <c r="J117" i="3"/>
  <c r="J283" i="3"/>
  <c r="J11" i="3"/>
  <c r="J9" i="3"/>
  <c r="J281" i="3"/>
  <c r="J129" i="3"/>
  <c r="P46" i="2"/>
  <c r="J17" i="4"/>
  <c r="J83" i="3"/>
  <c r="J272" i="3"/>
  <c r="J138" i="3"/>
  <c r="J176" i="3"/>
  <c r="J362" i="3"/>
  <c r="J410" i="3"/>
  <c r="J338" i="3"/>
  <c r="J396" i="3"/>
  <c r="J426" i="3"/>
  <c r="J186" i="1"/>
  <c r="J16" i="1"/>
  <c r="J24" i="1"/>
  <c r="J13" i="1"/>
  <c r="J25" i="1"/>
  <c r="J110" i="1"/>
  <c r="J65" i="1"/>
  <c r="J344" i="1"/>
  <c r="J293" i="1"/>
  <c r="J12" i="1"/>
  <c r="J15" i="1"/>
  <c r="J17" i="1"/>
  <c r="J93" i="1"/>
  <c r="J22" i="1"/>
  <c r="J9" i="1"/>
  <c r="J45" i="1"/>
  <c r="J229" i="1"/>
  <c r="J77" i="1"/>
  <c r="J158" i="1"/>
  <c r="J59" i="1"/>
  <c r="J351" i="1"/>
  <c r="J318" i="1"/>
  <c r="J209" i="1"/>
  <c r="J48" i="1"/>
  <c r="J66" i="6"/>
  <c r="J133" i="6"/>
  <c r="J146" i="6"/>
  <c r="J12" i="4"/>
  <c r="J30" i="4"/>
  <c r="J18" i="4"/>
  <c r="J304" i="3"/>
  <c r="J159" i="3"/>
  <c r="J158" i="3"/>
  <c r="J122" i="3"/>
  <c r="J132" i="3"/>
  <c r="J278" i="3"/>
  <c r="J8" i="3"/>
  <c r="J64" i="3"/>
  <c r="J32" i="3"/>
  <c r="AK32" i="3"/>
  <c r="AL32" i="3" s="1"/>
  <c r="X32" i="3" s="1"/>
  <c r="W32" i="3"/>
  <c r="N32" i="3"/>
  <c r="M32" i="3"/>
  <c r="J136" i="3"/>
  <c r="J240" i="3"/>
  <c r="J190" i="3"/>
  <c r="J121" i="3"/>
  <c r="J93" i="3"/>
  <c r="J311" i="3"/>
  <c r="J409" i="3"/>
  <c r="J397" i="3"/>
  <c r="J364" i="3"/>
  <c r="J370" i="3"/>
  <c r="J403" i="3"/>
  <c r="J392" i="3"/>
  <c r="J394" i="3"/>
  <c r="J384" i="3"/>
  <c r="J95" i="1"/>
  <c r="J235" i="1"/>
  <c r="J8" i="1"/>
  <c r="J82" i="1"/>
  <c r="J11" i="1"/>
  <c r="J26" i="1"/>
  <c r="J28" i="1"/>
  <c r="J29" i="1"/>
  <c r="J19" i="1"/>
  <c r="J27" i="1"/>
  <c r="J20" i="1"/>
  <c r="J30" i="1"/>
  <c r="J14" i="1"/>
  <c r="J294" i="1"/>
  <c r="J69" i="1"/>
  <c r="J180" i="1"/>
  <c r="J213" i="1"/>
  <c r="J254" i="1"/>
  <c r="J122" i="1"/>
  <c r="J262" i="1"/>
  <c r="J159" i="1"/>
  <c r="J79" i="1"/>
  <c r="J142" i="1"/>
  <c r="J106" i="1"/>
  <c r="J248" i="1"/>
  <c r="J33" i="1"/>
  <c r="J343" i="1"/>
  <c r="J140" i="1"/>
  <c r="U12" i="2"/>
  <c r="Z12" i="2" s="1"/>
  <c r="AA12" i="2" s="1"/>
  <c r="O12" i="2" s="1"/>
  <c r="L12" i="2"/>
  <c r="J6" i="1"/>
  <c r="J10" i="1"/>
  <c r="J296" i="1"/>
  <c r="J272" i="1"/>
  <c r="J151" i="1"/>
  <c r="J157" i="1"/>
  <c r="J291" i="1"/>
  <c r="J265" i="1"/>
  <c r="J360" i="1"/>
  <c r="J88" i="1"/>
  <c r="J185" i="1"/>
  <c r="J304" i="1"/>
  <c r="J321" i="1"/>
  <c r="J282" i="1"/>
  <c r="J309" i="1"/>
  <c r="J255" i="1"/>
  <c r="J292" i="1"/>
  <c r="K17" i="1"/>
  <c r="J26" i="5"/>
  <c r="J18" i="5"/>
  <c r="J12" i="5"/>
  <c r="J25" i="5"/>
  <c r="J30" i="5"/>
  <c r="J39" i="5"/>
  <c r="J38" i="5"/>
  <c r="J42" i="5"/>
  <c r="J36" i="5"/>
  <c r="J27" i="5"/>
  <c r="J28" i="5"/>
  <c r="J23" i="5"/>
  <c r="J37" i="5"/>
  <c r="J40" i="5"/>
  <c r="J35" i="5"/>
  <c r="J34" i="5"/>
  <c r="K45" i="1"/>
  <c r="K65" i="1"/>
  <c r="K110" i="1"/>
  <c r="K80" i="1"/>
  <c r="K229" i="1"/>
  <c r="K22" i="1"/>
  <c r="K9" i="1"/>
  <c r="K79" i="1"/>
  <c r="K143" i="1"/>
  <c r="K10" i="1"/>
  <c r="K130" i="1"/>
  <c r="K20" i="1"/>
  <c r="K82" i="1"/>
  <c r="K8" i="1"/>
  <c r="K26" i="1"/>
  <c r="K25" i="1"/>
  <c r="K24" i="1"/>
  <c r="K23" i="1"/>
  <c r="K19" i="1"/>
  <c r="K13" i="1"/>
  <c r="K157" i="1"/>
  <c r="K213" i="1"/>
  <c r="K180" i="1"/>
  <c r="K124" i="1"/>
  <c r="K187" i="1"/>
  <c r="K140" i="1"/>
  <c r="K185" i="1"/>
  <c r="K33" i="1"/>
  <c r="K209" i="1"/>
  <c r="K48" i="1"/>
  <c r="K201" i="1"/>
  <c r="K106" i="1"/>
  <c r="K93" i="1"/>
  <c r="K15" i="1"/>
  <c r="K12" i="1"/>
  <c r="K222" i="3"/>
  <c r="K208" i="3"/>
  <c r="K97" i="3"/>
  <c r="K311" i="3"/>
  <c r="K296" i="3"/>
  <c r="K283" i="3"/>
  <c r="K251" i="3"/>
  <c r="K398" i="3"/>
  <c r="K9" i="3"/>
  <c r="K11" i="3"/>
  <c r="K16" i="3"/>
  <c r="K15" i="3"/>
  <c r="K7" i="3"/>
  <c r="K14" i="3"/>
  <c r="K28" i="5"/>
  <c r="K9" i="5"/>
  <c r="K27" i="5"/>
  <c r="K18" i="5"/>
  <c r="K26" i="5"/>
  <c r="K12" i="5"/>
  <c r="K25" i="5"/>
  <c r="K255" i="1"/>
  <c r="K69" i="1"/>
  <c r="K88" i="1"/>
  <c r="K225" i="1"/>
  <c r="K44" i="1"/>
  <c r="K101" i="1"/>
  <c r="K248" i="1"/>
  <c r="K159" i="1"/>
  <c r="K142" i="1"/>
  <c r="K95" i="1"/>
  <c r="K28" i="1"/>
  <c r="K29" i="1"/>
  <c r="K30" i="1"/>
  <c r="K14" i="1"/>
  <c r="K83" i="3"/>
  <c r="K394" i="3"/>
  <c r="K202" i="3"/>
  <c r="K190" i="3"/>
  <c r="K136" i="3"/>
  <c r="K121" i="3"/>
  <c r="K200" i="3"/>
  <c r="K241" i="3"/>
  <c r="K240" i="3"/>
  <c r="K197" i="3"/>
  <c r="K93" i="3"/>
  <c r="K132" i="3"/>
  <c r="K417" i="3"/>
  <c r="K8" i="3"/>
  <c r="K64" i="3"/>
  <c r="K345" i="3"/>
  <c r="K98" i="6"/>
  <c r="K172" i="6"/>
  <c r="J24" i="8"/>
  <c r="J25" i="8"/>
  <c r="P25" i="8" s="1"/>
  <c r="Q25" i="8" s="1"/>
  <c r="D25" i="8" s="1"/>
  <c r="P197" i="3"/>
  <c r="P138" i="3"/>
  <c r="P93" i="3"/>
  <c r="P11" i="3"/>
  <c r="L11" i="3"/>
  <c r="L132" i="6"/>
  <c r="L33" i="6"/>
  <c r="L9" i="6"/>
  <c r="K6" i="8"/>
  <c r="K8" i="8"/>
  <c r="L14" i="6"/>
  <c r="L15" i="6"/>
  <c r="L6" i="6"/>
  <c r="L62" i="6"/>
  <c r="L17" i="6"/>
  <c r="L7" i="6"/>
  <c r="L8" i="6"/>
  <c r="L154" i="6"/>
  <c r="L186" i="6"/>
  <c r="L80" i="6"/>
  <c r="L32" i="6"/>
  <c r="L123" i="6"/>
  <c r="L121" i="6"/>
  <c r="L170" i="6"/>
  <c r="L160" i="6"/>
  <c r="L10" i="6"/>
  <c r="L82" i="3"/>
  <c r="L236" i="3"/>
  <c r="L42" i="3"/>
  <c r="L118" i="3"/>
  <c r="L331" i="3"/>
  <c r="L262" i="3"/>
  <c r="L332" i="3"/>
  <c r="L70" i="3"/>
  <c r="L316" i="3"/>
  <c r="L99" i="3"/>
  <c r="L276" i="3"/>
  <c r="L230" i="3"/>
  <c r="L300" i="3"/>
  <c r="L333" i="3"/>
  <c r="L273" i="3"/>
  <c r="L110" i="3"/>
  <c r="L24" i="3"/>
  <c r="P17" i="3"/>
  <c r="P14" i="3"/>
  <c r="P7" i="3"/>
  <c r="L14" i="3"/>
  <c r="L7" i="3"/>
  <c r="L208" i="3"/>
  <c r="L229" i="3"/>
  <c r="L311" i="3"/>
  <c r="L136" i="3"/>
  <c r="L121" i="3"/>
  <c r="L200" i="3"/>
  <c r="L241" i="3"/>
  <c r="L240" i="3"/>
  <c r="L283" i="3"/>
  <c r="L251" i="3"/>
  <c r="L16" i="3"/>
  <c r="L15" i="3"/>
  <c r="L132" i="3"/>
  <c r="L20" i="2"/>
  <c r="L159" i="1"/>
  <c r="L28" i="1"/>
  <c r="L95" i="1"/>
  <c r="L93" i="1"/>
  <c r="L10" i="1"/>
  <c r="L129" i="1"/>
  <c r="L20" i="1"/>
  <c r="L82" i="1"/>
  <c r="L8" i="1"/>
  <c r="L26" i="1"/>
  <c r="L103" i="1"/>
  <c r="L114" i="1"/>
  <c r="L122" i="1"/>
  <c r="L186" i="1"/>
  <c r="L27" i="1"/>
  <c r="L131" i="1"/>
  <c r="L223" i="1"/>
  <c r="L250" i="1"/>
  <c r="L235" i="1"/>
  <c r="L18" i="1"/>
  <c r="L151" i="1"/>
  <c r="L152" i="1"/>
  <c r="L66" i="1"/>
  <c r="L222" i="1"/>
  <c r="L21" i="1"/>
  <c r="L16" i="1"/>
  <c r="L160" i="1"/>
  <c r="L9" i="1"/>
  <c r="L23" i="1"/>
  <c r="L45" i="1"/>
  <c r="L6" i="1"/>
  <c r="L25" i="1"/>
  <c r="L24" i="1"/>
  <c r="L19" i="1"/>
  <c r="L13" i="1"/>
  <c r="L11" i="1"/>
  <c r="L24" i="2"/>
  <c r="L17" i="4"/>
  <c r="L272" i="3"/>
  <c r="L222" i="3"/>
  <c r="L14" i="2"/>
  <c r="L17" i="2"/>
  <c r="L33" i="1"/>
  <c r="L140" i="1"/>
  <c r="L248" i="1"/>
  <c r="L142" i="1"/>
  <c r="L106" i="1"/>
  <c r="L22" i="1"/>
  <c r="L143" i="1"/>
  <c r="L79" i="1"/>
  <c r="L26" i="5"/>
  <c r="L12" i="5"/>
  <c r="L9" i="5"/>
  <c r="L25" i="5"/>
  <c r="L296" i="3"/>
  <c r="L97" i="3"/>
  <c r="L127" i="3"/>
  <c r="L190" i="3"/>
  <c r="L202" i="3"/>
  <c r="L153" i="3"/>
  <c r="L229" i="1"/>
  <c r="L88" i="1"/>
  <c r="L17" i="1"/>
  <c r="L156" i="1"/>
  <c r="L176" i="1"/>
  <c r="L192" i="1"/>
  <c r="L202" i="1"/>
  <c r="L210" i="1"/>
  <c r="L69" i="1"/>
  <c r="L26" i="2"/>
  <c r="L80" i="1"/>
  <c r="L209" i="1"/>
  <c r="L48" i="1"/>
  <c r="L119" i="1"/>
  <c r="L191" i="1"/>
  <c r="L15" i="5"/>
  <c r="L17" i="3"/>
  <c r="L8" i="3"/>
  <c r="L64" i="3"/>
  <c r="L237" i="3"/>
  <c r="L138" i="3"/>
  <c r="L197" i="3"/>
  <c r="L93" i="3"/>
  <c r="L312" i="3"/>
  <c r="L166" i="3"/>
  <c r="L299" i="3"/>
  <c r="L83" i="3"/>
  <c r="L223" i="3"/>
  <c r="L176" i="3"/>
  <c r="L8" i="2"/>
  <c r="L14" i="1"/>
  <c r="L170" i="1"/>
  <c r="L74" i="1"/>
  <c r="L158" i="1"/>
  <c r="L98" i="1"/>
  <c r="L252" i="1"/>
  <c r="L33" i="2"/>
  <c r="L25" i="2"/>
  <c r="L18" i="2"/>
  <c r="L15" i="2"/>
  <c r="L21" i="2"/>
  <c r="L257" i="1"/>
  <c r="L255" i="1"/>
  <c r="L215" i="1"/>
  <c r="L185" i="1"/>
  <c r="L226" i="1"/>
  <c r="L141" i="1"/>
  <c r="L124" i="1"/>
  <c r="L180" i="1"/>
  <c r="L204" i="1"/>
  <c r="L213" i="1"/>
  <c r="L157" i="1"/>
  <c r="L81" i="1"/>
  <c r="L94" i="1"/>
  <c r="L208" i="1"/>
  <c r="L155" i="1"/>
  <c r="L187" i="1"/>
  <c r="L254" i="1"/>
  <c r="L44" i="1"/>
  <c r="L224" i="1"/>
  <c r="L59" i="1"/>
  <c r="L99" i="1"/>
  <c r="L18" i="5"/>
  <c r="L46" i="1"/>
  <c r="L162" i="1"/>
  <c r="L27" i="5"/>
  <c r="L17" i="5"/>
  <c r="L28" i="5"/>
  <c r="L23" i="5"/>
  <c r="M102" i="6"/>
  <c r="M166" i="6"/>
  <c r="M331" i="3"/>
  <c r="P193" i="3"/>
  <c r="M147" i="6"/>
  <c r="M12" i="6"/>
  <c r="M293" i="3"/>
  <c r="M133" i="6"/>
  <c r="M201" i="3"/>
  <c r="P18" i="4"/>
  <c r="M155" i="6"/>
  <c r="M98" i="3"/>
  <c r="M178" i="6"/>
  <c r="M93" i="3"/>
  <c r="M197" i="3"/>
  <c r="M138" i="3"/>
  <c r="M9" i="3"/>
  <c r="M132" i="6"/>
  <c r="M33" i="6"/>
  <c r="M9" i="6"/>
  <c r="M154" i="6"/>
  <c r="M186" i="6"/>
  <c r="M80" i="6"/>
  <c r="M32" i="6"/>
  <c r="M123" i="6"/>
  <c r="M121" i="6"/>
  <c r="M35" i="6"/>
  <c r="M170" i="6"/>
  <c r="M160" i="6"/>
  <c r="M10" i="6"/>
  <c r="M17" i="3"/>
  <c r="M14" i="3"/>
  <c r="M7" i="3"/>
  <c r="M6" i="6"/>
  <c r="M15" i="6"/>
  <c r="L8" i="8"/>
  <c r="M14" i="6"/>
  <c r="M17" i="6"/>
  <c r="M7" i="6"/>
  <c r="M62" i="6"/>
  <c r="M8" i="6"/>
  <c r="M208" i="3"/>
  <c r="M229" i="3"/>
  <c r="M311" i="3"/>
  <c r="M136" i="3"/>
  <c r="M121" i="3"/>
  <c r="M200" i="3"/>
  <c r="M240" i="3"/>
  <c r="M241" i="3"/>
  <c r="M315" i="3"/>
  <c r="M283" i="3"/>
  <c r="M251" i="3"/>
  <c r="M16" i="3"/>
  <c r="M15" i="3"/>
  <c r="M132" i="3"/>
  <c r="M135" i="1"/>
  <c r="M20" i="2"/>
  <c r="M159" i="1"/>
  <c r="M28" i="1"/>
  <c r="M30" i="1"/>
  <c r="M201" i="1"/>
  <c r="M95" i="1"/>
  <c r="M93" i="1"/>
  <c r="M10" i="1"/>
  <c r="M129" i="1"/>
  <c r="M20" i="1"/>
  <c r="M82" i="1"/>
  <c r="M8" i="1"/>
  <c r="M26" i="1"/>
  <c r="M24" i="2"/>
  <c r="M9" i="1"/>
  <c r="M23" i="1"/>
  <c r="M6" i="1"/>
  <c r="M25" i="1"/>
  <c r="M24" i="1"/>
  <c r="M13" i="1"/>
  <c r="M11" i="1"/>
  <c r="M62" i="1"/>
  <c r="M54" i="1"/>
  <c r="M112" i="1"/>
  <c r="M120" i="1"/>
  <c r="M108" i="1"/>
  <c r="M89" i="1"/>
  <c r="M115" i="1"/>
  <c r="M179" i="1"/>
  <c r="M96" i="1"/>
  <c r="M148" i="1"/>
  <c r="M233" i="1"/>
  <c r="M86" i="1"/>
  <c r="M184" i="1"/>
  <c r="M43" i="1"/>
  <c r="M246" i="1"/>
  <c r="M193" i="3"/>
  <c r="M18" i="4"/>
  <c r="M115" i="6"/>
  <c r="M129" i="6"/>
  <c r="M174" i="6"/>
  <c r="M26" i="4"/>
  <c r="M304" i="3"/>
  <c r="M158" i="3"/>
  <c r="M123" i="3"/>
  <c r="M106" i="3"/>
  <c r="M281" i="3"/>
  <c r="M129" i="3"/>
  <c r="M15" i="1"/>
  <c r="M12" i="1"/>
  <c r="M7" i="1"/>
  <c r="M114" i="1"/>
  <c r="M27" i="1"/>
  <c r="M235" i="1"/>
  <c r="M18" i="1"/>
  <c r="M66" i="1"/>
  <c r="M16" i="1"/>
  <c r="M21" i="1"/>
  <c r="M33" i="2"/>
  <c r="M17" i="1"/>
  <c r="M213" i="1"/>
  <c r="M157" i="1"/>
  <c r="M124" i="1"/>
  <c r="M69" i="1"/>
  <c r="M22" i="1"/>
  <c r="M143" i="1"/>
  <c r="M79" i="1"/>
  <c r="M201" i="6"/>
  <c r="M39" i="3"/>
  <c r="M97" i="3"/>
  <c r="M296" i="3"/>
  <c r="M17" i="4"/>
  <c r="M153" i="3"/>
  <c r="M90" i="3"/>
  <c r="M231" i="3"/>
  <c r="M264" i="3"/>
  <c r="M72" i="3"/>
  <c r="M180" i="3"/>
  <c r="M36" i="3"/>
  <c r="M272" i="3"/>
  <c r="M248" i="1"/>
  <c r="M142" i="1"/>
  <c r="M106" i="1"/>
  <c r="M185" i="1"/>
  <c r="M140" i="1"/>
  <c r="M180" i="1"/>
  <c r="M33" i="1"/>
  <c r="M210" i="1"/>
  <c r="M25" i="5"/>
  <c r="Z8" i="8"/>
  <c r="N8" i="8" s="1"/>
  <c r="AK8" i="8"/>
  <c r="AK9" i="8"/>
  <c r="Q187" i="6" l="1"/>
  <c r="R187" i="6" s="1"/>
  <c r="D187" i="6" s="1"/>
  <c r="Q108" i="6"/>
  <c r="R108" i="6" s="1"/>
  <c r="D108" i="6" s="1"/>
  <c r="Q206" i="6"/>
  <c r="R206" i="6" s="1"/>
  <c r="D206" i="6" s="1"/>
  <c r="Q136" i="6"/>
  <c r="R136" i="6" s="1"/>
  <c r="D136" i="6" s="1"/>
  <c r="Q57" i="6"/>
  <c r="R57" i="6" s="1"/>
  <c r="D57" i="6" s="1"/>
  <c r="Q31" i="6"/>
  <c r="R31" i="6" s="1"/>
  <c r="D31" i="6" s="1"/>
  <c r="Q93" i="6"/>
  <c r="R93" i="6" s="1"/>
  <c r="D93" i="6" s="1"/>
  <c r="Q142" i="6"/>
  <c r="R142" i="6" s="1"/>
  <c r="D142" i="6" s="1"/>
  <c r="Q126" i="6"/>
  <c r="R126" i="6" s="1"/>
  <c r="D126" i="6" s="1"/>
  <c r="Q99" i="6"/>
  <c r="R99" i="6" s="1"/>
  <c r="D99" i="6" s="1"/>
  <c r="Q78" i="6"/>
  <c r="R78" i="6" s="1"/>
  <c r="D78" i="6" s="1"/>
  <c r="Q25" i="6"/>
  <c r="R25" i="6" s="1"/>
  <c r="D25" i="6" s="1"/>
  <c r="Q115" i="6"/>
  <c r="R115" i="6" s="1"/>
  <c r="D115" i="6" s="1"/>
  <c r="Q119" i="6"/>
  <c r="R119" i="6" s="1"/>
  <c r="D119" i="6" s="1"/>
  <c r="Q44" i="4"/>
  <c r="R44" i="4" s="1"/>
  <c r="D44" i="4" s="1"/>
  <c r="Z33" i="4"/>
  <c r="AA33" i="4" s="1"/>
  <c r="O33" i="4" s="1"/>
  <c r="Q33" i="4" s="1"/>
  <c r="Q41" i="4"/>
  <c r="R41" i="4" s="1"/>
  <c r="D41" i="4" s="1"/>
  <c r="Q45" i="4"/>
  <c r="R45" i="4" s="1"/>
  <c r="D45" i="4" s="1"/>
  <c r="Q30" i="5"/>
  <c r="R30" i="5" s="1"/>
  <c r="P8" i="8"/>
  <c r="P24" i="8"/>
  <c r="P18" i="8"/>
  <c r="Q18" i="8" s="1"/>
  <c r="D18" i="8" s="1"/>
  <c r="P17" i="8"/>
  <c r="Q17" i="8" s="1"/>
  <c r="D17" i="8" s="1"/>
  <c r="Q8" i="8"/>
  <c r="D8" i="8" s="1"/>
  <c r="R11" i="4"/>
  <c r="D11" i="4" s="1"/>
  <c r="Q42" i="2"/>
  <c r="R42" i="2" s="1"/>
  <c r="D42" i="2" s="1"/>
  <c r="Q272" i="1"/>
  <c r="R272" i="1" s="1"/>
  <c r="D272" i="1" s="1"/>
  <c r="Q191" i="1"/>
  <c r="R191" i="1" s="1"/>
  <c r="D191" i="1" s="1"/>
  <c r="Q24" i="8"/>
  <c r="D24" i="8" s="1"/>
  <c r="AL163" i="6"/>
  <c r="X163" i="6" s="1"/>
  <c r="Z163" i="6" s="1"/>
  <c r="AA163" i="6" s="1"/>
  <c r="O163" i="6" s="1"/>
  <c r="Q163" i="6" s="1"/>
  <c r="R163" i="6" s="1"/>
  <c r="D163" i="6" s="1"/>
  <c r="R33" i="4"/>
  <c r="D33" i="4" s="1"/>
  <c r="AK34" i="4"/>
  <c r="AL34" i="4" s="1"/>
  <c r="X34" i="4" s="1"/>
  <c r="Z34" i="4" s="1"/>
  <c r="AA34" i="4" s="1"/>
  <c r="Q82" i="3"/>
  <c r="R82" i="3" s="1"/>
  <c r="D82" i="3" s="1"/>
  <c r="Q266" i="3"/>
  <c r="R266" i="3" s="1"/>
  <c r="D266" i="3" s="1"/>
  <c r="Q390" i="3"/>
  <c r="R390" i="3" s="1"/>
  <c r="D390" i="3" s="1"/>
  <c r="Q173" i="3"/>
  <c r="R173" i="3" s="1"/>
  <c r="D173" i="3" s="1"/>
  <c r="Q243" i="3"/>
  <c r="R243" i="3" s="1"/>
  <c r="D243" i="3" s="1"/>
  <c r="Q300" i="3"/>
  <c r="R300" i="3" s="1"/>
  <c r="D300" i="3" s="1"/>
  <c r="Q340" i="3"/>
  <c r="R340" i="3" s="1"/>
  <c r="D340" i="3" s="1"/>
  <c r="Q262" i="3"/>
  <c r="R262" i="3" s="1"/>
  <c r="D262" i="3" s="1"/>
  <c r="Q413" i="3"/>
  <c r="R413" i="3" s="1"/>
  <c r="D413" i="3" s="1"/>
  <c r="Q409" i="3"/>
  <c r="R409" i="3" s="1"/>
  <c r="D409" i="3" s="1"/>
  <c r="Q268" i="3"/>
  <c r="R268" i="3" s="1"/>
  <c r="D268" i="3" s="1"/>
  <c r="Q31" i="3"/>
  <c r="R31" i="3" s="1"/>
  <c r="D31" i="3" s="1"/>
  <c r="Q38" i="3"/>
  <c r="R38" i="3" s="1"/>
  <c r="D38" i="3" s="1"/>
  <c r="Q361" i="3"/>
  <c r="R361" i="3" s="1"/>
  <c r="D361" i="3" s="1"/>
  <c r="Q127" i="3"/>
  <c r="R127" i="3" s="1"/>
  <c r="D127" i="3" s="1"/>
  <c r="Q384" i="3"/>
  <c r="R384" i="3" s="1"/>
  <c r="D384" i="3" s="1"/>
  <c r="Q423" i="3"/>
  <c r="R423" i="3" s="1"/>
  <c r="D423" i="3" s="1"/>
  <c r="Q231" i="3"/>
  <c r="R231" i="3" s="1"/>
  <c r="D231" i="3" s="1"/>
  <c r="Q366" i="3"/>
  <c r="R366" i="3" s="1"/>
  <c r="D366" i="3" s="1"/>
  <c r="Q410" i="3"/>
  <c r="R410" i="3" s="1"/>
  <c r="D410" i="3" s="1"/>
  <c r="Q166" i="3"/>
  <c r="R166" i="3" s="1"/>
  <c r="D166" i="3" s="1"/>
  <c r="Q256" i="3"/>
  <c r="R256" i="3" s="1"/>
  <c r="D256" i="3" s="1"/>
  <c r="Q347" i="3"/>
  <c r="R347" i="3" s="1"/>
  <c r="D347" i="3" s="1"/>
  <c r="Q299" i="3"/>
  <c r="R299" i="3" s="1"/>
  <c r="D299" i="3" s="1"/>
  <c r="Q276" i="3"/>
  <c r="R276" i="3" s="1"/>
  <c r="D276" i="3" s="1"/>
  <c r="Q350" i="3"/>
  <c r="R350" i="3" s="1"/>
  <c r="D350" i="3" s="1"/>
  <c r="Q399" i="3"/>
  <c r="R399" i="3" s="1"/>
  <c r="D399" i="3" s="1"/>
  <c r="Q70" i="3"/>
  <c r="R70" i="3" s="1"/>
  <c r="D70" i="3" s="1"/>
  <c r="Q417" i="3"/>
  <c r="R417" i="3" s="1"/>
  <c r="D417" i="3" s="1"/>
  <c r="Q163" i="3"/>
  <c r="R163" i="3" s="1"/>
  <c r="D163" i="3" s="1"/>
  <c r="Q398" i="3"/>
  <c r="R398" i="3" s="1"/>
  <c r="D398" i="3" s="1"/>
  <c r="Q182" i="3"/>
  <c r="R182" i="3" s="1"/>
  <c r="D182" i="3" s="1"/>
  <c r="Q391" i="3"/>
  <c r="R391" i="3" s="1"/>
  <c r="D391" i="3" s="1"/>
  <c r="Q42" i="3"/>
  <c r="R42" i="3" s="1"/>
  <c r="D42" i="3" s="1"/>
  <c r="Q144" i="3"/>
  <c r="R144" i="3" s="1"/>
  <c r="D144" i="3" s="1"/>
  <c r="Q161" i="3"/>
  <c r="R161" i="3" s="1"/>
  <c r="D161" i="3" s="1"/>
  <c r="Q94" i="3"/>
  <c r="R94" i="3" s="1"/>
  <c r="D94" i="3" s="1"/>
  <c r="Q83" i="3"/>
  <c r="R83" i="3" s="1"/>
  <c r="D83" i="3" s="1"/>
  <c r="Q345" i="3"/>
  <c r="R345" i="3" s="1"/>
  <c r="D345" i="3" s="1"/>
  <c r="Q354" i="3"/>
  <c r="R354" i="3" s="1"/>
  <c r="D354" i="3" s="1"/>
  <c r="Q90" i="3"/>
  <c r="R90" i="3" s="1"/>
  <c r="D90" i="3" s="1"/>
  <c r="Q426" i="3"/>
  <c r="R426" i="3" s="1"/>
  <c r="D426" i="3" s="1"/>
  <c r="Q356" i="3"/>
  <c r="R356" i="3" s="1"/>
  <c r="D356" i="3" s="1"/>
  <c r="Q411" i="3"/>
  <c r="R411" i="3" s="1"/>
  <c r="D411" i="3" s="1"/>
  <c r="Q230" i="3"/>
  <c r="R230" i="3" s="1"/>
  <c r="D230" i="3" s="1"/>
  <c r="Q346" i="3"/>
  <c r="R346" i="3" s="1"/>
  <c r="D346" i="3" s="1"/>
  <c r="Q73" i="3"/>
  <c r="R73" i="3" s="1"/>
  <c r="D73" i="3" s="1"/>
  <c r="Q365" i="3"/>
  <c r="R365" i="3" s="1"/>
  <c r="D365" i="3" s="1"/>
  <c r="O332" i="3"/>
  <c r="Q332" i="3" s="1"/>
  <c r="R332" i="3" s="1"/>
  <c r="D332" i="3" s="1"/>
  <c r="O376" i="3"/>
  <c r="Q376" i="3" s="1"/>
  <c r="R376" i="3" s="1"/>
  <c r="D376" i="3" s="1"/>
  <c r="Q370" i="3"/>
  <c r="R370" i="3" s="1"/>
  <c r="D370" i="3" s="1"/>
  <c r="O369" i="3"/>
  <c r="Q369" i="3" s="1"/>
  <c r="R369" i="3" s="1"/>
  <c r="D369" i="3" s="1"/>
  <c r="O435" i="3"/>
  <c r="Q435" i="3" s="1"/>
  <c r="R435" i="3" s="1"/>
  <c r="D435" i="3" s="1"/>
  <c r="O334" i="3"/>
  <c r="Q334" i="3" s="1"/>
  <c r="R334" i="3" s="1"/>
  <c r="D334" i="3" s="1"/>
  <c r="Q374" i="3"/>
  <c r="R374" i="3" s="1"/>
  <c r="D374" i="3" s="1"/>
  <c r="Q341" i="3"/>
  <c r="R341" i="3" s="1"/>
  <c r="D341" i="3" s="1"/>
  <c r="Q277" i="3"/>
  <c r="R277" i="3" s="1"/>
  <c r="D277" i="3" s="1"/>
  <c r="Q26" i="3"/>
  <c r="R26" i="3" s="1"/>
  <c r="D26" i="3" s="1"/>
  <c r="Q54" i="3"/>
  <c r="R54" i="3" s="1"/>
  <c r="D54" i="3" s="1"/>
  <c r="Q274" i="3"/>
  <c r="R274" i="3" s="1"/>
  <c r="D274" i="3" s="1"/>
  <c r="Q189" i="3"/>
  <c r="R189" i="3" s="1"/>
  <c r="D189" i="3" s="1"/>
  <c r="O118" i="3"/>
  <c r="Q118" i="3" s="1"/>
  <c r="R118" i="3" s="1"/>
  <c r="D118" i="3" s="1"/>
  <c r="Q24" i="3"/>
  <c r="R24" i="3" s="1"/>
  <c r="D24" i="3" s="1"/>
  <c r="Q415" i="3"/>
  <c r="R415" i="3" s="1"/>
  <c r="D415" i="3" s="1"/>
  <c r="Q259" i="3"/>
  <c r="R259" i="3" s="1"/>
  <c r="D259" i="3" s="1"/>
  <c r="Q357" i="3"/>
  <c r="R357" i="3" s="1"/>
  <c r="D357" i="3" s="1"/>
  <c r="Q279" i="3"/>
  <c r="R279" i="3" s="1"/>
  <c r="D279" i="3" s="1"/>
  <c r="O394" i="3"/>
  <c r="Q394" i="3" s="1"/>
  <c r="R394" i="3" s="1"/>
  <c r="D394" i="3" s="1"/>
  <c r="Q364" i="3"/>
  <c r="R364" i="3" s="1"/>
  <c r="D364" i="3" s="1"/>
  <c r="Q236" i="3"/>
  <c r="R236" i="3" s="1"/>
  <c r="D236" i="3" s="1"/>
  <c r="Q396" i="3"/>
  <c r="R396" i="3" s="1"/>
  <c r="D396" i="3" s="1"/>
  <c r="Q430" i="3"/>
  <c r="R430" i="3" s="1"/>
  <c r="D430" i="3" s="1"/>
  <c r="O50" i="3"/>
  <c r="Q50" i="3" s="1"/>
  <c r="R50" i="3" s="1"/>
  <c r="D50" i="3" s="1"/>
  <c r="Q308" i="3"/>
  <c r="R308" i="3" s="1"/>
  <c r="D308" i="3" s="1"/>
  <c r="O429" i="3"/>
  <c r="Q429" i="3" s="1"/>
  <c r="R429" i="3" s="1"/>
  <c r="D429" i="3" s="1"/>
  <c r="O150" i="3"/>
  <c r="Q150" i="3" s="1"/>
  <c r="R150" i="3" s="1"/>
  <c r="D150" i="3" s="1"/>
  <c r="Q91" i="3"/>
  <c r="R91" i="3" s="1"/>
  <c r="D91" i="3" s="1"/>
  <c r="Q313" i="3"/>
  <c r="R313" i="3" s="1"/>
  <c r="D313" i="3" s="1"/>
  <c r="O397" i="3"/>
  <c r="Q397" i="3" s="1"/>
  <c r="R397" i="3" s="1"/>
  <c r="D397" i="3" s="1"/>
  <c r="Q319" i="3"/>
  <c r="R319" i="3" s="1"/>
  <c r="D319" i="3" s="1"/>
  <c r="O76" i="3"/>
  <c r="Q76" i="3" s="1"/>
  <c r="R76" i="3" s="1"/>
  <c r="D76" i="3" s="1"/>
  <c r="Q66" i="3"/>
  <c r="R66" i="3" s="1"/>
  <c r="D66" i="3" s="1"/>
  <c r="O198" i="3"/>
  <c r="Q198" i="3" s="1"/>
  <c r="R198" i="3" s="1"/>
  <c r="D198" i="3" s="1"/>
  <c r="O431" i="3"/>
  <c r="Q431" i="3" s="1"/>
  <c r="R431" i="3" s="1"/>
  <c r="D431" i="3" s="1"/>
  <c r="Q403" i="3"/>
  <c r="R403" i="3" s="1"/>
  <c r="D403" i="3" s="1"/>
  <c r="O352" i="3"/>
  <c r="Q352" i="3" s="1"/>
  <c r="R352" i="3" s="1"/>
  <c r="D352" i="3" s="1"/>
  <c r="Q89" i="3"/>
  <c r="R89" i="3" s="1"/>
  <c r="D89" i="3" s="1"/>
  <c r="Q421" i="3"/>
  <c r="R421" i="3" s="1"/>
  <c r="D421" i="3" s="1"/>
  <c r="Q414" i="3"/>
  <c r="R414" i="3" s="1"/>
  <c r="D414" i="3" s="1"/>
  <c r="Q61" i="3"/>
  <c r="R61" i="3" s="1"/>
  <c r="D61" i="3" s="1"/>
  <c r="O362" i="3"/>
  <c r="Q362" i="3" s="1"/>
  <c r="R362" i="3" s="1"/>
  <c r="D362" i="3" s="1"/>
  <c r="O250" i="3"/>
  <c r="Q250" i="3" s="1"/>
  <c r="R250" i="3" s="1"/>
  <c r="D250" i="3" s="1"/>
  <c r="O79" i="3"/>
  <c r="Q79" i="3" s="1"/>
  <c r="R79" i="3" s="1"/>
  <c r="D79" i="3" s="1"/>
  <c r="R329" i="3"/>
  <c r="D329" i="3" s="1"/>
  <c r="O316" i="3"/>
  <c r="Q316" i="3" s="1"/>
  <c r="R316" i="3" s="1"/>
  <c r="D316" i="3" s="1"/>
  <c r="O392" i="3"/>
  <c r="Q392" i="3" s="1"/>
  <c r="R392" i="3" s="1"/>
  <c r="D392" i="3" s="1"/>
  <c r="O338" i="3"/>
  <c r="Q338" i="3" s="1"/>
  <c r="R338" i="3" s="1"/>
  <c r="D338" i="3" s="1"/>
  <c r="Q416" i="3"/>
  <c r="R416" i="3" s="1"/>
  <c r="D416" i="3" s="1"/>
  <c r="R234" i="3"/>
  <c r="D234" i="3" s="1"/>
  <c r="R119" i="3"/>
  <c r="D119" i="3" s="1"/>
  <c r="R232" i="3"/>
  <c r="D232" i="3" s="1"/>
  <c r="R23" i="3"/>
  <c r="D23" i="3" s="1"/>
  <c r="R133" i="3"/>
  <c r="D133" i="3" s="1"/>
  <c r="R177" i="3"/>
  <c r="D177" i="3" s="1"/>
  <c r="R224" i="3"/>
  <c r="D224" i="3" s="1"/>
  <c r="R130" i="3"/>
  <c r="D130" i="3" s="1"/>
  <c r="R336" i="3"/>
  <c r="D336" i="3" s="1"/>
  <c r="R139" i="3"/>
  <c r="D139" i="3" s="1"/>
  <c r="R20" i="3"/>
  <c r="D20" i="3" s="1"/>
  <c r="Q40" i="2"/>
  <c r="R40" i="2" s="1"/>
  <c r="D40" i="2" s="1"/>
  <c r="Q57" i="2"/>
  <c r="R57" i="2" s="1"/>
  <c r="D57" i="2" s="1"/>
  <c r="Q16" i="2"/>
  <c r="R16" i="2" s="1"/>
  <c r="D16" i="2" s="1"/>
  <c r="Q15" i="2"/>
  <c r="R15" i="2" s="1"/>
  <c r="D15" i="2" s="1"/>
  <c r="Q54" i="2"/>
  <c r="R54" i="2" s="1"/>
  <c r="D54" i="2" s="1"/>
  <c r="Q43" i="2"/>
  <c r="R43" i="2" s="1"/>
  <c r="D43" i="2" s="1"/>
  <c r="Q41" i="2"/>
  <c r="R41" i="2" s="1"/>
  <c r="D41" i="2" s="1"/>
  <c r="Q12" i="2"/>
  <c r="R12" i="2" s="1"/>
  <c r="D12" i="2" s="1"/>
  <c r="Q39" i="2"/>
  <c r="R39" i="2" s="1"/>
  <c r="D39" i="2" s="1"/>
  <c r="Q56" i="2"/>
  <c r="R56" i="2" s="1"/>
  <c r="D56" i="2" s="1"/>
  <c r="Q51" i="2"/>
  <c r="R51" i="2" s="1"/>
  <c r="D51" i="2" s="1"/>
  <c r="Q49" i="2"/>
  <c r="R49" i="2" s="1"/>
  <c r="D49" i="2" s="1"/>
  <c r="Q48" i="2"/>
  <c r="R48" i="2" s="1"/>
  <c r="D48" i="2" s="1"/>
  <c r="Q47" i="2"/>
  <c r="R47" i="2" s="1"/>
  <c r="D47" i="2" s="1"/>
  <c r="O34" i="2"/>
  <c r="Q34" i="2" s="1"/>
  <c r="R34" i="2" s="1"/>
  <c r="D34" i="2" s="1"/>
  <c r="Q21" i="2"/>
  <c r="R21" i="2" s="1"/>
  <c r="D21" i="2" s="1"/>
  <c r="R38" i="2"/>
  <c r="D38" i="2" s="1"/>
  <c r="Q277" i="1"/>
  <c r="R277" i="1" s="1"/>
  <c r="D277" i="1" s="1"/>
  <c r="Q129" i="1"/>
  <c r="R129" i="1" s="1"/>
  <c r="D129" i="1" s="1"/>
  <c r="Q290" i="1"/>
  <c r="R290" i="1" s="1"/>
  <c r="D290" i="1" s="1"/>
  <c r="Q325" i="1"/>
  <c r="R325" i="1" s="1"/>
  <c r="D325" i="1" s="1"/>
  <c r="Q162" i="1"/>
  <c r="R162" i="1" s="1"/>
  <c r="D162" i="1" s="1"/>
  <c r="Q262" i="1"/>
  <c r="R262" i="1" s="1"/>
  <c r="D262" i="1" s="1"/>
  <c r="Q359" i="1"/>
  <c r="R359" i="1" s="1"/>
  <c r="D359" i="1" s="1"/>
  <c r="Q261" i="1"/>
  <c r="R261" i="1" s="1"/>
  <c r="D261" i="1" s="1"/>
  <c r="Q289" i="1"/>
  <c r="R289" i="1" s="1"/>
  <c r="D289" i="1" s="1"/>
  <c r="Q215" i="1"/>
  <c r="R215" i="1" s="1"/>
  <c r="D215" i="1" s="1"/>
  <c r="Q333" i="1"/>
  <c r="R333" i="1" s="1"/>
  <c r="D333" i="1" s="1"/>
  <c r="Z55" i="1"/>
  <c r="AA55" i="1" s="1"/>
  <c r="Q321" i="1"/>
  <c r="R321" i="1" s="1"/>
  <c r="D321" i="1" s="1"/>
  <c r="Q347" i="1"/>
  <c r="R347" i="1" s="1"/>
  <c r="D347" i="1" s="1"/>
  <c r="Q120" i="1"/>
  <c r="R120" i="1" s="1"/>
  <c r="D120" i="1" s="1"/>
  <c r="Q358" i="1"/>
  <c r="R358" i="1" s="1"/>
  <c r="D358" i="1" s="1"/>
  <c r="Q329" i="1"/>
  <c r="R329" i="1" s="1"/>
  <c r="D329" i="1" s="1"/>
  <c r="Q200" i="1"/>
  <c r="R200" i="1" s="1"/>
  <c r="D200" i="1" s="1"/>
  <c r="Q340" i="1"/>
  <c r="R340" i="1" s="1"/>
  <c r="D340" i="1" s="1"/>
  <c r="Q119" i="1"/>
  <c r="R119" i="1" s="1"/>
  <c r="D119" i="1" s="1"/>
  <c r="Q86" i="1"/>
  <c r="R86" i="1" s="1"/>
  <c r="D86" i="1" s="1"/>
  <c r="Q326" i="1"/>
  <c r="R326" i="1" s="1"/>
  <c r="D326" i="1" s="1"/>
  <c r="Q249" i="1"/>
  <c r="R249" i="1" s="1"/>
  <c r="D249" i="1" s="1"/>
  <c r="Q255" i="1"/>
  <c r="R255" i="1" s="1"/>
  <c r="D255" i="1" s="1"/>
  <c r="Q89" i="1"/>
  <c r="R89" i="1" s="1"/>
  <c r="D89" i="1" s="1"/>
  <c r="Q312" i="1"/>
  <c r="R312" i="1" s="1"/>
  <c r="D312" i="1" s="1"/>
  <c r="Q328" i="1"/>
  <c r="R328" i="1" s="1"/>
  <c r="D328" i="1" s="1"/>
  <c r="Q54" i="1"/>
  <c r="R54" i="1" s="1"/>
  <c r="D54" i="1" s="1"/>
  <c r="Q264" i="1"/>
  <c r="R264" i="1" s="1"/>
  <c r="D264" i="1" s="1"/>
  <c r="Q135" i="1"/>
  <c r="R135" i="1" s="1"/>
  <c r="D135" i="1" s="1"/>
  <c r="Q292" i="1"/>
  <c r="R292" i="1" s="1"/>
  <c r="D292" i="1" s="1"/>
  <c r="Q202" i="1"/>
  <c r="R202" i="1" s="1"/>
  <c r="D202" i="1" s="1"/>
  <c r="Q94" i="1"/>
  <c r="R94" i="1" s="1"/>
  <c r="D94" i="1" s="1"/>
  <c r="Q134" i="1"/>
  <c r="R134" i="1" s="1"/>
  <c r="D134" i="1" s="1"/>
  <c r="Q282" i="1"/>
  <c r="R282" i="1" s="1"/>
  <c r="D282" i="1" s="1"/>
  <c r="Q224" i="1"/>
  <c r="R224" i="1" s="1"/>
  <c r="D224" i="1" s="1"/>
  <c r="Q339" i="1"/>
  <c r="R339" i="1" s="1"/>
  <c r="D339" i="1" s="1"/>
  <c r="Q318" i="1"/>
  <c r="R318" i="1" s="1"/>
  <c r="D318" i="1" s="1"/>
  <c r="Q305" i="1"/>
  <c r="R305" i="1" s="1"/>
  <c r="D305" i="1" s="1"/>
  <c r="Q99" i="1"/>
  <c r="R99" i="1" s="1"/>
  <c r="D99" i="1" s="1"/>
  <c r="Q187" i="1"/>
  <c r="R187" i="1" s="1"/>
  <c r="D187" i="1" s="1"/>
  <c r="Q48" i="1"/>
  <c r="R48" i="1" s="1"/>
  <c r="D48" i="1" s="1"/>
  <c r="Q291" i="1"/>
  <c r="R291" i="1" s="1"/>
  <c r="D291" i="1" s="1"/>
  <c r="Q367" i="1"/>
  <c r="R367" i="1" s="1"/>
  <c r="D367" i="1" s="1"/>
  <c r="Q296" i="1"/>
  <c r="R296" i="1" s="1"/>
  <c r="D296" i="1" s="1"/>
  <c r="Q351" i="1"/>
  <c r="R351" i="1" s="1"/>
  <c r="D351" i="1" s="1"/>
  <c r="Q360" i="1"/>
  <c r="R360" i="1" s="1"/>
  <c r="D360" i="1" s="1"/>
  <c r="Q78" i="1"/>
  <c r="R78" i="1" s="1"/>
  <c r="D78" i="1" s="1"/>
  <c r="Q209" i="1"/>
  <c r="R209" i="1" s="1"/>
  <c r="D209" i="1" s="1"/>
  <c r="Q121" i="1"/>
  <c r="R121" i="1" s="1"/>
  <c r="D121" i="1" s="1"/>
  <c r="Q269" i="1"/>
  <c r="R269" i="1" s="1"/>
  <c r="D269" i="1" s="1"/>
  <c r="Q148" i="1"/>
  <c r="R148" i="1" s="1"/>
  <c r="D148" i="1" s="1"/>
  <c r="Q368" i="1"/>
  <c r="R368" i="1" s="1"/>
  <c r="D368" i="1" s="1"/>
  <c r="Q275" i="1"/>
  <c r="R275" i="1" s="1"/>
  <c r="D275" i="1" s="1"/>
  <c r="Q293" i="1"/>
  <c r="R293" i="1" s="1"/>
  <c r="D293" i="1" s="1"/>
  <c r="Q310" i="1"/>
  <c r="R310" i="1" s="1"/>
  <c r="D310" i="1" s="1"/>
  <c r="Q313" i="1"/>
  <c r="R313" i="1" s="1"/>
  <c r="D313" i="1" s="1"/>
  <c r="Q286" i="1"/>
  <c r="R286" i="1" s="1"/>
  <c r="D286" i="1" s="1"/>
  <c r="Q96" i="1"/>
  <c r="R96" i="1" s="1"/>
  <c r="D96" i="1" s="1"/>
  <c r="Q343" i="1"/>
  <c r="R343" i="1" s="1"/>
  <c r="D343" i="1" s="1"/>
  <c r="Q115" i="1"/>
  <c r="R115" i="1" s="1"/>
  <c r="D115" i="1" s="1"/>
  <c r="Q344" i="1"/>
  <c r="R344" i="1" s="1"/>
  <c r="D344" i="1" s="1"/>
  <c r="Q342" i="1"/>
  <c r="R342" i="1" s="1"/>
  <c r="D342" i="1" s="1"/>
  <c r="Q317" i="1"/>
  <c r="R317" i="1" s="1"/>
  <c r="D317" i="1" s="1"/>
  <c r="Q311" i="1"/>
  <c r="R311" i="1" s="1"/>
  <c r="D311" i="1" s="1"/>
  <c r="Q260" i="1"/>
  <c r="R260" i="1" s="1"/>
  <c r="D260" i="1" s="1"/>
  <c r="Q327" i="1"/>
  <c r="R327" i="1" s="1"/>
  <c r="D327" i="1" s="1"/>
  <c r="Z64" i="1"/>
  <c r="AA64" i="1" s="1"/>
  <c r="O64" i="1" s="1"/>
  <c r="Q64" i="1" s="1"/>
  <c r="R64" i="1" s="1"/>
  <c r="D64" i="1" s="1"/>
  <c r="Q179" i="1"/>
  <c r="R179" i="1" s="1"/>
  <c r="D179" i="1" s="1"/>
  <c r="Q257" i="1"/>
  <c r="R257" i="1" s="1"/>
  <c r="D257" i="1" s="1"/>
  <c r="Q304" i="1"/>
  <c r="R304" i="1" s="1"/>
  <c r="D304" i="1" s="1"/>
  <c r="Q267" i="1"/>
  <c r="R267" i="1" s="1"/>
  <c r="D267" i="1" s="1"/>
  <c r="Q80" i="1"/>
  <c r="R80" i="1" s="1"/>
  <c r="D80" i="1" s="1"/>
  <c r="Q141" i="1"/>
  <c r="R141" i="1" s="1"/>
  <c r="D141" i="1" s="1"/>
  <c r="Q337" i="1"/>
  <c r="R337" i="1" s="1"/>
  <c r="D337" i="1" s="1"/>
  <c r="Q182" i="1"/>
  <c r="R182" i="1" s="1"/>
  <c r="D182" i="1" s="1"/>
  <c r="Z133" i="1"/>
  <c r="AA133" i="1" s="1"/>
  <c r="O133" i="1" s="1"/>
  <c r="Q133" i="1" s="1"/>
  <c r="R133" i="1" s="1"/>
  <c r="D133" i="1" s="1"/>
  <c r="Q233" i="1"/>
  <c r="R233" i="1" s="1"/>
  <c r="D233" i="1" s="1"/>
  <c r="Q192" i="1"/>
  <c r="R192" i="1" s="1"/>
  <c r="D192" i="1" s="1"/>
  <c r="Q365" i="1"/>
  <c r="R365" i="1" s="1"/>
  <c r="D365" i="1" s="1"/>
  <c r="Q314" i="1"/>
  <c r="R314" i="1" s="1"/>
  <c r="D314" i="1" s="1"/>
  <c r="Z53" i="1"/>
  <c r="AA53" i="1" s="1"/>
  <c r="O53" i="1" s="1"/>
  <c r="Q53" i="1" s="1"/>
  <c r="R53" i="1" s="1"/>
  <c r="D53" i="1" s="1"/>
  <c r="Q363" i="1"/>
  <c r="R363" i="1" s="1"/>
  <c r="D363" i="1" s="1"/>
  <c r="Q62" i="1"/>
  <c r="R62" i="1" s="1"/>
  <c r="D62" i="1" s="1"/>
  <c r="Q274" i="1"/>
  <c r="R274" i="1" s="1"/>
  <c r="D274" i="1" s="1"/>
  <c r="Q350" i="1"/>
  <c r="R350" i="1" s="1"/>
  <c r="D350" i="1" s="1"/>
  <c r="Q208" i="1"/>
  <c r="R208" i="1" s="1"/>
  <c r="D208" i="1" s="1"/>
  <c r="Q298" i="1"/>
  <c r="R298" i="1" s="1"/>
  <c r="D298" i="1" s="1"/>
  <c r="Q268" i="1"/>
  <c r="R268" i="1" s="1"/>
  <c r="D268" i="1" s="1"/>
  <c r="Q112" i="1"/>
  <c r="R112" i="1" s="1"/>
  <c r="D112" i="1" s="1"/>
  <c r="Z104" i="1"/>
  <c r="AA104" i="1" s="1"/>
  <c r="O104" i="1" s="1"/>
  <c r="Q104" i="1" s="1"/>
  <c r="R104" i="1" s="1"/>
  <c r="D104" i="1" s="1"/>
  <c r="Q108" i="1"/>
  <c r="R108" i="1" s="1"/>
  <c r="D108" i="1" s="1"/>
  <c r="Q46" i="1"/>
  <c r="R46" i="1" s="1"/>
  <c r="D46" i="1" s="1"/>
  <c r="Q309" i="1"/>
  <c r="R309" i="1" s="1"/>
  <c r="D309" i="1" s="1"/>
  <c r="Q81" i="1"/>
  <c r="R81" i="1" s="1"/>
  <c r="D81" i="1" s="1"/>
  <c r="Q265" i="1"/>
  <c r="R265" i="1" s="1"/>
  <c r="D265" i="1" s="1"/>
  <c r="Q176" i="1"/>
  <c r="R176" i="1" s="1"/>
  <c r="D176" i="1" s="1"/>
  <c r="Q308" i="1"/>
  <c r="R308" i="1" s="1"/>
  <c r="D308" i="1" s="1"/>
  <c r="Q294" i="1"/>
  <c r="R294" i="1" s="1"/>
  <c r="D294" i="1" s="1"/>
  <c r="Q43" i="1"/>
  <c r="R43" i="1" s="1"/>
  <c r="D43" i="1" s="1"/>
  <c r="AK234" i="1"/>
  <c r="AL234" i="1" s="1"/>
  <c r="X234" i="1" s="1"/>
  <c r="Z234" i="1" s="1"/>
  <c r="AA234" i="1" s="1"/>
  <c r="AK87" i="1"/>
  <c r="AL87" i="1" s="1"/>
  <c r="X87" i="1" s="1"/>
  <c r="Z87" i="1" s="1"/>
  <c r="AA87" i="1" s="1"/>
  <c r="O105" i="1"/>
  <c r="Q105" i="1" s="1"/>
  <c r="R105" i="1" s="1"/>
  <c r="D105" i="1" s="1"/>
  <c r="O40" i="1"/>
  <c r="Q40" i="1" s="1"/>
  <c r="R40" i="1" s="1"/>
  <c r="D40" i="1" s="1"/>
  <c r="Z288" i="3"/>
  <c r="AA288" i="3" s="1"/>
  <c r="Z238" i="3"/>
  <c r="AA238" i="3" s="1"/>
  <c r="Z204" i="3"/>
  <c r="AA204" i="3" s="1"/>
  <c r="Z151" i="3"/>
  <c r="AA151" i="3" s="1"/>
  <c r="Z214" i="3"/>
  <c r="AA214" i="3" s="1"/>
  <c r="Z255" i="3"/>
  <c r="AA255" i="3" s="1"/>
  <c r="Z107" i="3"/>
  <c r="AA107" i="3" s="1"/>
  <c r="Z187" i="3"/>
  <c r="AA187" i="3" s="1"/>
  <c r="Z113" i="3"/>
  <c r="AA113" i="3" s="1"/>
  <c r="AK326" i="3"/>
  <c r="AL326" i="3" s="1"/>
  <c r="X326" i="3" s="1"/>
  <c r="Z326" i="3" s="1"/>
  <c r="AA326" i="3" s="1"/>
  <c r="AK317" i="3"/>
  <c r="AL317" i="3" s="1"/>
  <c r="X317" i="3" s="1"/>
  <c r="Z317" i="3" s="1"/>
  <c r="AA317" i="3" s="1"/>
  <c r="AK305" i="3"/>
  <c r="AL305" i="3" s="1"/>
  <c r="X305" i="3" s="1"/>
  <c r="Z305" i="3" s="1"/>
  <c r="AA305" i="3" s="1"/>
  <c r="AK194" i="1"/>
  <c r="AL194" i="1" s="1"/>
  <c r="X194" i="1" s="1"/>
  <c r="AK218" i="3"/>
  <c r="AL218" i="3" s="1"/>
  <c r="X218" i="3" s="1"/>
  <c r="Z218" i="3" s="1"/>
  <c r="AA218" i="3" s="1"/>
  <c r="AK170" i="3"/>
  <c r="AL170" i="3" s="1"/>
  <c r="X170" i="3" s="1"/>
  <c r="Z170" i="3" s="1"/>
  <c r="AA170" i="3" s="1"/>
  <c r="AK169" i="3"/>
  <c r="AL169" i="3" s="1"/>
  <c r="X169" i="3" s="1"/>
  <c r="Z169" i="3" s="1"/>
  <c r="AA169" i="3" s="1"/>
  <c r="AK74" i="3"/>
  <c r="AL74" i="3" s="1"/>
  <c r="X74" i="3" s="1"/>
  <c r="Z74" i="3" s="1"/>
  <c r="AA74" i="3" s="1"/>
  <c r="AK114" i="3"/>
  <c r="AL114" i="3" s="1"/>
  <c r="X114" i="3" s="1"/>
  <c r="Z114" i="3" s="1"/>
  <c r="AA114" i="3" s="1"/>
  <c r="AK69" i="3"/>
  <c r="AL69" i="3" s="1"/>
  <c r="X69" i="3" s="1"/>
  <c r="Z69" i="3" s="1"/>
  <c r="AA69" i="3" s="1"/>
  <c r="AK56" i="3"/>
  <c r="AL56" i="3" s="1"/>
  <c r="X56" i="3" s="1"/>
  <c r="Z56" i="3" s="1"/>
  <c r="AA56" i="3" s="1"/>
  <c r="AK52" i="3"/>
  <c r="AL52" i="3" s="1"/>
  <c r="X52" i="3" s="1"/>
  <c r="Z52" i="3" s="1"/>
  <c r="AA52" i="3" s="1"/>
  <c r="AK28" i="3"/>
  <c r="AL28" i="3" s="1"/>
  <c r="X28" i="3" s="1"/>
  <c r="Z28" i="3" s="1"/>
  <c r="AA28" i="3" s="1"/>
  <c r="AK44" i="3"/>
  <c r="AL44" i="3" s="1"/>
  <c r="X44" i="3" s="1"/>
  <c r="Z44" i="3" s="1"/>
  <c r="AA44" i="3" s="1"/>
  <c r="AK325" i="3"/>
  <c r="AL325" i="3" s="1"/>
  <c r="X325" i="3" s="1"/>
  <c r="Z325" i="3" s="1"/>
  <c r="AA325" i="3" s="1"/>
  <c r="AK307" i="3"/>
  <c r="AL307" i="3" s="1"/>
  <c r="X307" i="3" s="1"/>
  <c r="Z307" i="3" s="1"/>
  <c r="AA307" i="3" s="1"/>
  <c r="AK19" i="3"/>
  <c r="AL19" i="3" s="1"/>
  <c r="X19" i="3" s="1"/>
  <c r="Z19" i="3" s="1"/>
  <c r="AA19" i="3" s="1"/>
  <c r="AK263" i="3"/>
  <c r="AL263" i="3" s="1"/>
  <c r="X263" i="3" s="1"/>
  <c r="Z263" i="3" s="1"/>
  <c r="AA263" i="3" s="1"/>
  <c r="Z147" i="3"/>
  <c r="AA147" i="3" s="1"/>
  <c r="Z206" i="3"/>
  <c r="AA206" i="3" s="1"/>
  <c r="AK12" i="3"/>
  <c r="AL12" i="3" s="1"/>
  <c r="X12" i="3" s="1"/>
  <c r="Z12" i="3" s="1"/>
  <c r="AA12" i="3" s="1"/>
  <c r="AK68" i="3"/>
  <c r="AL68" i="3" s="1"/>
  <c r="X68" i="3" s="1"/>
  <c r="Z68" i="3" s="1"/>
  <c r="AA68" i="3" s="1"/>
  <c r="Z32" i="3"/>
  <c r="AA32" i="3" s="1"/>
  <c r="AK6" i="3"/>
  <c r="AL6" i="3" s="1"/>
  <c r="X6" i="3" s="1"/>
  <c r="Z6" i="3" s="1"/>
  <c r="AA6" i="3" s="1"/>
  <c r="O6" i="3" s="1"/>
  <c r="Q6" i="3" s="1"/>
  <c r="AK45" i="3"/>
  <c r="AL45" i="3" s="1"/>
  <c r="X45" i="3" s="1"/>
  <c r="Z45" i="3" s="1"/>
  <c r="AK35" i="4"/>
  <c r="AL35" i="4" s="1"/>
  <c r="X35" i="4" s="1"/>
  <c r="Z35" i="4" s="1"/>
  <c r="AA35" i="4" s="1"/>
  <c r="R46" i="2"/>
  <c r="D46" i="2" s="1"/>
  <c r="AK6" i="4"/>
  <c r="AL6" i="4" s="1"/>
  <c r="X6" i="4" s="1"/>
  <c r="Z6" i="4" s="1"/>
  <c r="AA6" i="4" s="1"/>
  <c r="O6" i="4" s="1"/>
  <c r="Q6" i="4" s="1"/>
  <c r="R6" i="4" s="1"/>
  <c r="D6" i="4" s="1"/>
  <c r="AK189" i="6"/>
  <c r="AL189" i="6" s="1"/>
  <c r="X189" i="6" s="1"/>
  <c r="Z189" i="6" s="1"/>
  <c r="AK175" i="6"/>
  <c r="AL175" i="6" s="1"/>
  <c r="X175" i="6" s="1"/>
  <c r="Z175" i="6" s="1"/>
  <c r="Z179" i="6"/>
  <c r="AK171" i="6"/>
  <c r="AL171" i="6" s="1"/>
  <c r="X171" i="6" s="1"/>
  <c r="Z171" i="6" s="1"/>
  <c r="AK162" i="6"/>
  <c r="AL162" i="6" s="1"/>
  <c r="X162" i="6" s="1"/>
  <c r="Z162" i="6" s="1"/>
  <c r="Z157" i="6"/>
  <c r="AK134" i="6"/>
  <c r="AL134" i="6" s="1"/>
  <c r="X134" i="6" s="1"/>
  <c r="Z134" i="6" s="1"/>
  <c r="AK95" i="6"/>
  <c r="AL95" i="6" s="1"/>
  <c r="X95" i="6" s="1"/>
  <c r="Z95" i="6" s="1"/>
  <c r="Z112" i="6"/>
  <c r="Z89" i="6"/>
  <c r="Z96" i="6"/>
  <c r="Z55" i="6"/>
  <c r="AK72" i="6"/>
  <c r="AL72" i="6" s="1"/>
  <c r="X72" i="6" s="1"/>
  <c r="Z72" i="6" s="1"/>
  <c r="Z84" i="6"/>
  <c r="Z75" i="6"/>
  <c r="AK77" i="6"/>
  <c r="AL77" i="6" s="1"/>
  <c r="X77" i="6" s="1"/>
  <c r="Z77" i="6" s="1"/>
  <c r="AK67" i="6"/>
  <c r="AL67" i="6" s="1"/>
  <c r="X67" i="6" s="1"/>
  <c r="Z67" i="6" s="1"/>
  <c r="AK47" i="6"/>
  <c r="AL47" i="6" s="1"/>
  <c r="X47" i="6" s="1"/>
  <c r="Z47" i="6" s="1"/>
  <c r="AK44" i="6"/>
  <c r="AL44" i="6" s="1"/>
  <c r="X44" i="6" s="1"/>
  <c r="Z44" i="6" s="1"/>
  <c r="AK40" i="6"/>
  <c r="AL40" i="6" s="1"/>
  <c r="X40" i="6" s="1"/>
  <c r="Z40" i="6" s="1"/>
  <c r="AK38" i="6"/>
  <c r="AL38" i="6" s="1"/>
  <c r="X38" i="6" s="1"/>
  <c r="Z38" i="6" s="1"/>
  <c r="AL27" i="6"/>
  <c r="X27" i="6" s="1"/>
  <c r="Z27" i="6" s="1"/>
  <c r="AA198" i="6"/>
  <c r="O198" i="6" s="1"/>
  <c r="Q198" i="6" s="1"/>
  <c r="R198" i="6" s="1"/>
  <c r="D198" i="6" s="1"/>
  <c r="AL26" i="6"/>
  <c r="X26" i="6" s="1"/>
  <c r="Z26" i="6" s="1"/>
  <c r="Z143" i="6"/>
  <c r="AK20" i="6"/>
  <c r="AL20" i="6" s="1"/>
  <c r="X20" i="6" s="1"/>
  <c r="Z20" i="6" s="1"/>
  <c r="AK19" i="6"/>
  <c r="AL19" i="6" s="1"/>
  <c r="X19" i="6" s="1"/>
  <c r="Z19" i="6" s="1"/>
  <c r="AK11" i="6"/>
  <c r="AL11" i="6" s="1"/>
  <c r="X11" i="6" s="1"/>
  <c r="Z11" i="6" s="1"/>
  <c r="AK68" i="6"/>
  <c r="AL68" i="6" s="1"/>
  <c r="X68" i="6" s="1"/>
  <c r="Z68" i="6" s="1"/>
  <c r="L6" i="8"/>
  <c r="M66" i="6"/>
  <c r="M167" i="6"/>
  <c r="M185" i="6"/>
  <c r="M24" i="6"/>
  <c r="Q24" i="6" s="1"/>
  <c r="R24" i="6" s="1"/>
  <c r="D24" i="6" s="1"/>
  <c r="M30" i="4"/>
  <c r="M28" i="4"/>
  <c r="M253" i="3"/>
  <c r="M122" i="3"/>
  <c r="M64" i="3"/>
  <c r="AK86" i="3"/>
  <c r="AL86" i="3" s="1"/>
  <c r="AK87" i="3"/>
  <c r="AL87" i="3" s="1"/>
  <c r="M29" i="3"/>
  <c r="N12" i="6"/>
  <c r="M267" i="3"/>
  <c r="M190" i="3"/>
  <c r="M270" i="3"/>
  <c r="M222" i="3"/>
  <c r="M223" i="3"/>
  <c r="M8" i="2"/>
  <c r="M186" i="1"/>
  <c r="M29" i="1"/>
  <c r="M14" i="1"/>
  <c r="M252" i="1"/>
  <c r="M49" i="1"/>
  <c r="M59" i="1"/>
  <c r="Q59" i="1" s="1"/>
  <c r="M77" i="1"/>
  <c r="Q77" i="1" s="1"/>
  <c r="N79" i="1"/>
  <c r="AK79" i="1"/>
  <c r="AL79" i="1" s="1"/>
  <c r="M160" i="1"/>
  <c r="M170" i="1"/>
  <c r="M51" i="1"/>
  <c r="M161" i="1"/>
  <c r="M158" i="1"/>
  <c r="M212" i="1"/>
  <c r="M171" i="1"/>
  <c r="M14" i="2"/>
  <c r="M25" i="2"/>
  <c r="M17" i="2"/>
  <c r="M18" i="2"/>
  <c r="M26" i="2"/>
  <c r="M103" i="1"/>
  <c r="M122" i="1"/>
  <c r="Q122" i="1" s="1"/>
  <c r="M238" i="1"/>
  <c r="M223" i="1"/>
  <c r="Q223" i="1" s="1"/>
  <c r="M250" i="1"/>
  <c r="M155" i="1"/>
  <c r="Q155" i="1" s="1"/>
  <c r="M151" i="1"/>
  <c r="Q151" i="1" s="1"/>
  <c r="M152" i="1"/>
  <c r="Q152" i="1" s="1"/>
  <c r="M203" i="1"/>
  <c r="M222" i="1"/>
  <c r="M173" i="1"/>
  <c r="M204" i="1"/>
  <c r="M88" i="1"/>
  <c r="M101" i="1"/>
  <c r="M131" i="1"/>
  <c r="M12" i="5"/>
  <c r="M26" i="5"/>
  <c r="M9" i="5"/>
  <c r="M18" i="5"/>
  <c r="M27" i="5"/>
  <c r="M28" i="5"/>
  <c r="M23" i="5"/>
  <c r="V190" i="6"/>
  <c r="M6" i="8"/>
  <c r="N132" i="6"/>
  <c r="N9" i="6"/>
  <c r="N176" i="3"/>
  <c r="N197" i="3"/>
  <c r="N138" i="3"/>
  <c r="N93" i="3"/>
  <c r="N11" i="3"/>
  <c r="N24" i="2"/>
  <c r="N25" i="1"/>
  <c r="N23" i="1"/>
  <c r="N13" i="1"/>
  <c r="N11" i="1"/>
  <c r="N19" i="1"/>
  <c r="N30" i="4"/>
  <c r="N26" i="4"/>
  <c r="N304" i="3"/>
  <c r="N158" i="3"/>
  <c r="N122" i="3"/>
  <c r="N106" i="3"/>
  <c r="N281" i="3"/>
  <c r="N129" i="3"/>
  <c r="N240" i="3"/>
  <c r="N208" i="3"/>
  <c r="N8" i="3"/>
  <c r="N241" i="3"/>
  <c r="N121" i="3"/>
  <c r="N200" i="3"/>
  <c r="N14" i="3"/>
  <c r="N7" i="3"/>
  <c r="N229" i="3"/>
  <c r="N132" i="3"/>
  <c r="N311" i="3"/>
  <c r="N251" i="3"/>
  <c r="N283" i="3"/>
  <c r="N16" i="3"/>
  <c r="N15" i="3"/>
  <c r="N315" i="3"/>
  <c r="N50" i="1"/>
  <c r="N195" i="1"/>
  <c r="N196" i="1"/>
  <c r="N231" i="1"/>
  <c r="N166" i="1"/>
  <c r="N75" i="1"/>
  <c r="N323" i="3"/>
  <c r="N75" i="3"/>
  <c r="N49" i="3"/>
  <c r="N107" i="1"/>
  <c r="N217" i="3"/>
  <c r="N260" i="3"/>
  <c r="N203" i="3"/>
  <c r="N81" i="3"/>
  <c r="N115" i="3"/>
  <c r="N22" i="3"/>
  <c r="N257" i="3"/>
  <c r="T252" i="3"/>
  <c r="N242" i="1"/>
  <c r="N320" i="3"/>
  <c r="N211" i="3"/>
  <c r="N172" i="3"/>
  <c r="N116" i="3"/>
  <c r="N154" i="3"/>
  <c r="N226" i="3"/>
  <c r="N53" i="3"/>
  <c r="N86" i="3"/>
  <c r="N184" i="3"/>
  <c r="N210" i="3"/>
  <c r="N60" i="3"/>
  <c r="N196" i="3"/>
  <c r="P331" i="3"/>
  <c r="N196" i="6"/>
  <c r="Q196" i="6" s="1"/>
  <c r="R196" i="6" s="1"/>
  <c r="D196" i="6" s="1"/>
  <c r="N147" i="6"/>
  <c r="Q147" i="6" s="1"/>
  <c r="R147" i="6" s="1"/>
  <c r="D147" i="6" s="1"/>
  <c r="AK12" i="6"/>
  <c r="AL12" i="6" s="1"/>
  <c r="X12" i="6" s="1"/>
  <c r="W12" i="6"/>
  <c r="V12" i="6"/>
  <c r="U12" i="6"/>
  <c r="P12" i="6"/>
  <c r="P293" i="3"/>
  <c r="P207" i="3"/>
  <c r="P201" i="3"/>
  <c r="N155" i="6"/>
  <c r="Q155" i="6" s="1"/>
  <c r="R155" i="6" s="1"/>
  <c r="D155" i="6" s="1"/>
  <c r="P98" i="3"/>
  <c r="N178" i="6"/>
  <c r="Q178" i="6" s="1"/>
  <c r="R178" i="6" s="1"/>
  <c r="D178" i="6" s="1"/>
  <c r="P253" i="3"/>
  <c r="P13" i="3"/>
  <c r="N133" i="6"/>
  <c r="N9" i="3"/>
  <c r="N123" i="3"/>
  <c r="N41" i="3"/>
  <c r="N97" i="3"/>
  <c r="N296" i="3"/>
  <c r="N17" i="4"/>
  <c r="N153" i="3"/>
  <c r="N72" i="3"/>
  <c r="N264" i="3"/>
  <c r="N190" i="3"/>
  <c r="N202" i="3"/>
  <c r="N180" i="3"/>
  <c r="Q180" i="3" s="1"/>
  <c r="N36" i="3"/>
  <c r="Q36" i="3" s="1"/>
  <c r="N272" i="3"/>
  <c r="N222" i="3"/>
  <c r="N93" i="1"/>
  <c r="N10" i="1"/>
  <c r="N7" i="1"/>
  <c r="N82" i="1"/>
  <c r="N20" i="1"/>
  <c r="N229" i="1"/>
  <c r="N45" i="1"/>
  <c r="N8" i="1"/>
  <c r="N26" i="1"/>
  <c r="N9" i="1"/>
  <c r="N12" i="1"/>
  <c r="N15" i="1"/>
  <c r="N22" i="1"/>
  <c r="N201" i="6"/>
  <c r="Q201" i="6" s="1"/>
  <c r="R201" i="6" s="1"/>
  <c r="D201" i="6" s="1"/>
  <c r="N185" i="6"/>
  <c r="V185" i="6"/>
  <c r="Z185" i="6" s="1"/>
  <c r="N66" i="6"/>
  <c r="N71" i="6"/>
  <c r="AA21" i="6"/>
  <c r="O21" i="6" s="1"/>
  <c r="Q21" i="6" s="1"/>
  <c r="R21" i="6" s="1"/>
  <c r="N103" i="6"/>
  <c r="N76" i="6"/>
  <c r="N61" i="6"/>
  <c r="N28" i="6"/>
  <c r="N331" i="3"/>
  <c r="Q331" i="3" s="1"/>
  <c r="N207" i="3"/>
  <c r="N98" i="3"/>
  <c r="Q98" i="3" s="1"/>
  <c r="N267" i="3"/>
  <c r="N193" i="3"/>
  <c r="N13" i="3"/>
  <c r="N29" i="3"/>
  <c r="N293" i="3"/>
  <c r="N201" i="3"/>
  <c r="N253" i="3"/>
  <c r="N28" i="4"/>
  <c r="N18" i="4"/>
  <c r="N105" i="3"/>
  <c r="N136" i="3"/>
  <c r="N143" i="3"/>
  <c r="N306" i="3"/>
  <c r="N205" i="3"/>
  <c r="N102" i="3"/>
  <c r="N261" i="3"/>
  <c r="N273" i="3"/>
  <c r="O34" i="4" l="1"/>
  <c r="Q34" i="4" s="1"/>
  <c r="R34" i="4" s="1"/>
  <c r="D34" i="4" s="1"/>
  <c r="O35" i="4"/>
  <c r="Q35" i="4" s="1"/>
  <c r="R35" i="4" s="1"/>
  <c r="D35" i="4" s="1"/>
  <c r="Q261" i="3"/>
  <c r="R261" i="3" s="1"/>
  <c r="D261" i="3" s="1"/>
  <c r="Q49" i="3"/>
  <c r="R49" i="3" s="1"/>
  <c r="D49" i="3" s="1"/>
  <c r="O52" i="3"/>
  <c r="Q52" i="3" s="1"/>
  <c r="R52" i="3" s="1"/>
  <c r="D52" i="3" s="1"/>
  <c r="Q323" i="3"/>
  <c r="R323" i="3" s="1"/>
  <c r="D323" i="3" s="1"/>
  <c r="O56" i="3"/>
  <c r="Q56" i="3" s="1"/>
  <c r="R56" i="3" s="1"/>
  <c r="D56" i="3" s="1"/>
  <c r="Q153" i="3"/>
  <c r="R153" i="3" s="1"/>
  <c r="D153" i="3" s="1"/>
  <c r="Q264" i="3"/>
  <c r="R264" i="3" s="1"/>
  <c r="D264" i="3" s="1"/>
  <c r="Q320" i="3"/>
  <c r="R320" i="3" s="1"/>
  <c r="D320" i="3" s="1"/>
  <c r="O74" i="3"/>
  <c r="Q74" i="3" s="1"/>
  <c r="R74" i="3" s="1"/>
  <c r="D74" i="3" s="1"/>
  <c r="O107" i="3"/>
  <c r="Q107" i="3" s="1"/>
  <c r="R107" i="3" s="1"/>
  <c r="D107" i="3" s="1"/>
  <c r="O238" i="3"/>
  <c r="Q238" i="3" s="1"/>
  <c r="R238" i="3" s="1"/>
  <c r="D238" i="3" s="1"/>
  <c r="O169" i="3"/>
  <c r="Q169" i="3" s="1"/>
  <c r="R169" i="3" s="1"/>
  <c r="D169" i="3" s="1"/>
  <c r="O68" i="3"/>
  <c r="Q68" i="3" s="1"/>
  <c r="R68" i="3" s="1"/>
  <c r="D68" i="3" s="1"/>
  <c r="O170" i="3"/>
  <c r="Q170" i="3" s="1"/>
  <c r="R170" i="3" s="1"/>
  <c r="D170" i="3" s="1"/>
  <c r="Q72" i="3"/>
  <c r="R72" i="3" s="1"/>
  <c r="D72" i="3" s="1"/>
  <c r="O187" i="3"/>
  <c r="Q187" i="3" s="1"/>
  <c r="R187" i="3" s="1"/>
  <c r="D187" i="3" s="1"/>
  <c r="O12" i="3"/>
  <c r="Q12" i="3" s="1"/>
  <c r="R12" i="3" s="1"/>
  <c r="D12" i="3" s="1"/>
  <c r="O218" i="3"/>
  <c r="Q218" i="3" s="1"/>
  <c r="R218" i="3" s="1"/>
  <c r="D218" i="3" s="1"/>
  <c r="O151" i="3"/>
  <c r="Q151" i="3" s="1"/>
  <c r="R151" i="3" s="1"/>
  <c r="D151" i="3" s="1"/>
  <c r="O206" i="3"/>
  <c r="Q206" i="3" s="1"/>
  <c r="R206" i="3" s="1"/>
  <c r="D206" i="3" s="1"/>
  <c r="O204" i="3"/>
  <c r="Q204" i="3" s="1"/>
  <c r="R204" i="3" s="1"/>
  <c r="D204" i="3" s="1"/>
  <c r="O69" i="3"/>
  <c r="Q69" i="3" s="1"/>
  <c r="R69" i="3" s="1"/>
  <c r="D69" i="3" s="1"/>
  <c r="O288" i="3"/>
  <c r="Q288" i="3" s="1"/>
  <c r="R288" i="3" s="1"/>
  <c r="D288" i="3" s="1"/>
  <c r="Q22" i="3"/>
  <c r="R22" i="3" s="1"/>
  <c r="D22" i="3" s="1"/>
  <c r="O263" i="3"/>
  <c r="Q263" i="3" s="1"/>
  <c r="R263" i="3" s="1"/>
  <c r="D263" i="3" s="1"/>
  <c r="O317" i="3"/>
  <c r="Q317" i="3" s="1"/>
  <c r="R317" i="3" s="1"/>
  <c r="D317" i="3" s="1"/>
  <c r="Q267" i="3"/>
  <c r="R267" i="3" s="1"/>
  <c r="D267" i="3" s="1"/>
  <c r="Q257" i="3"/>
  <c r="R257" i="3" s="1"/>
  <c r="D257" i="3" s="1"/>
  <c r="O214" i="3"/>
  <c r="Q214" i="3" s="1"/>
  <c r="R214" i="3" s="1"/>
  <c r="D214" i="3" s="1"/>
  <c r="Q115" i="3"/>
  <c r="R115" i="3" s="1"/>
  <c r="D115" i="3" s="1"/>
  <c r="O147" i="3"/>
  <c r="Q147" i="3" s="1"/>
  <c r="R147" i="3" s="1"/>
  <c r="D147" i="3" s="1"/>
  <c r="R36" i="3"/>
  <c r="D36" i="3" s="1"/>
  <c r="Q203" i="3"/>
  <c r="R203" i="3" s="1"/>
  <c r="D203" i="3" s="1"/>
  <c r="O19" i="3"/>
  <c r="Q19" i="3" s="1"/>
  <c r="R19" i="3" s="1"/>
  <c r="D19" i="3" s="1"/>
  <c r="O326" i="3"/>
  <c r="Q326" i="3" s="1"/>
  <c r="R326" i="3" s="1"/>
  <c r="D326" i="3" s="1"/>
  <c r="Q102" i="3"/>
  <c r="R102" i="3" s="1"/>
  <c r="D102" i="3" s="1"/>
  <c r="Q75" i="3"/>
  <c r="R75" i="3" s="1"/>
  <c r="D75" i="3" s="1"/>
  <c r="O32" i="3"/>
  <c r="Q32" i="3" s="1"/>
  <c r="R32" i="3" s="1"/>
  <c r="D32" i="3" s="1"/>
  <c r="R180" i="3"/>
  <c r="D180" i="3" s="1"/>
  <c r="Q260" i="3"/>
  <c r="R260" i="3" s="1"/>
  <c r="D260" i="3" s="1"/>
  <c r="O307" i="3"/>
  <c r="Q307" i="3" s="1"/>
  <c r="R307" i="3" s="1"/>
  <c r="D307" i="3" s="1"/>
  <c r="O113" i="3"/>
  <c r="Q113" i="3" s="1"/>
  <c r="R113" i="3" s="1"/>
  <c r="D113" i="3" s="1"/>
  <c r="O44" i="3"/>
  <c r="Q44" i="3" s="1"/>
  <c r="R44" i="3" s="1"/>
  <c r="D44" i="3" s="1"/>
  <c r="O28" i="3"/>
  <c r="Q28" i="3" s="1"/>
  <c r="R28" i="3" s="1"/>
  <c r="D28" i="3" s="1"/>
  <c r="O114" i="3"/>
  <c r="Q114" i="3" s="1"/>
  <c r="R114" i="3" s="1"/>
  <c r="D114" i="3" s="1"/>
  <c r="Q41" i="3"/>
  <c r="R41" i="3" s="1"/>
  <c r="D41" i="3" s="1"/>
  <c r="O255" i="3"/>
  <c r="Q255" i="3" s="1"/>
  <c r="R255" i="3" s="1"/>
  <c r="D255" i="3" s="1"/>
  <c r="O305" i="3"/>
  <c r="Q305" i="3" s="1"/>
  <c r="R305" i="3" s="1"/>
  <c r="D305" i="3" s="1"/>
  <c r="Q81" i="3"/>
  <c r="R81" i="3" s="1"/>
  <c r="D81" i="3" s="1"/>
  <c r="Q217" i="3"/>
  <c r="R217" i="3" s="1"/>
  <c r="D217" i="3" s="1"/>
  <c r="Q270" i="3"/>
  <c r="R270" i="3" s="1"/>
  <c r="D270" i="3" s="1"/>
  <c r="O325" i="3"/>
  <c r="Q325" i="3" s="1"/>
  <c r="R325" i="3" s="1"/>
  <c r="D325" i="3" s="1"/>
  <c r="Q176" i="3"/>
  <c r="R176" i="3" s="1"/>
  <c r="D176" i="3" s="1"/>
  <c r="R331" i="3"/>
  <c r="D331" i="3" s="1"/>
  <c r="Q25" i="2"/>
  <c r="R25" i="2" s="1"/>
  <c r="D25" i="2" s="1"/>
  <c r="Q195" i="1"/>
  <c r="R195" i="1" s="1"/>
  <c r="D195" i="1" s="1"/>
  <c r="Q50" i="1"/>
  <c r="R50" i="1" s="1"/>
  <c r="D50" i="1" s="1"/>
  <c r="Q107" i="1"/>
  <c r="R107" i="1" s="1"/>
  <c r="D107" i="1" s="1"/>
  <c r="R155" i="1"/>
  <c r="D155" i="1" s="1"/>
  <c r="R151" i="1"/>
  <c r="D151" i="1" s="1"/>
  <c r="Q204" i="1"/>
  <c r="R204" i="1" s="1"/>
  <c r="D204" i="1" s="1"/>
  <c r="Q196" i="1"/>
  <c r="R196" i="1" s="1"/>
  <c r="D196" i="1" s="1"/>
  <c r="Q203" i="1"/>
  <c r="R203" i="1" s="1"/>
  <c r="D203" i="1" s="1"/>
  <c r="Z194" i="1"/>
  <c r="AA194" i="1" s="1"/>
  <c r="O194" i="1" s="1"/>
  <c r="Q194" i="1" s="1"/>
  <c r="R194" i="1" s="1"/>
  <c r="D194" i="1" s="1"/>
  <c r="Q75" i="1"/>
  <c r="R75" i="1" s="1"/>
  <c r="D75" i="1" s="1"/>
  <c r="Q238" i="1"/>
  <c r="R238" i="1" s="1"/>
  <c r="D238" i="1" s="1"/>
  <c r="R152" i="1"/>
  <c r="D152" i="1" s="1"/>
  <c r="R223" i="1"/>
  <c r="D223" i="1" s="1"/>
  <c r="Q166" i="1"/>
  <c r="R166" i="1" s="1"/>
  <c r="D166" i="1" s="1"/>
  <c r="R122" i="1"/>
  <c r="D122" i="1" s="1"/>
  <c r="R77" i="1"/>
  <c r="D77" i="1" s="1"/>
  <c r="Q231" i="1"/>
  <c r="R231" i="1" s="1"/>
  <c r="D231" i="1" s="1"/>
  <c r="R59" i="1"/>
  <c r="D59" i="1" s="1"/>
  <c r="O234" i="1"/>
  <c r="Q234" i="1" s="1"/>
  <c r="R234" i="1" s="1"/>
  <c r="D234" i="1" s="1"/>
  <c r="O197" i="1"/>
  <c r="Q197" i="1" s="1"/>
  <c r="R197" i="1" s="1"/>
  <c r="D197" i="1" s="1"/>
  <c r="O55" i="1"/>
  <c r="Q55" i="1" s="1"/>
  <c r="R55" i="1" s="1"/>
  <c r="D55" i="1" s="1"/>
  <c r="O87" i="1"/>
  <c r="Q87" i="1" s="1"/>
  <c r="R87" i="1" s="1"/>
  <c r="D87" i="1" s="1"/>
  <c r="O118" i="1"/>
  <c r="Q118" i="1" s="1"/>
  <c r="R118" i="1" s="1"/>
  <c r="D118" i="1" s="1"/>
  <c r="O79" i="1"/>
  <c r="Q79" i="1" s="1"/>
  <c r="R79" i="1" s="1"/>
  <c r="D79" i="1" s="1"/>
  <c r="R98" i="3"/>
  <c r="D98" i="3" s="1"/>
  <c r="R6" i="3"/>
  <c r="D6" i="3" s="1"/>
  <c r="Z252" i="3"/>
  <c r="AA252" i="3" s="1"/>
  <c r="AA77" i="6"/>
  <c r="O77" i="6" s="1"/>
  <c r="Q77" i="6" s="1"/>
  <c r="R77" i="6" s="1"/>
  <c r="D77" i="6" s="1"/>
  <c r="AA84" i="6"/>
  <c r="O84" i="6" s="1"/>
  <c r="Q84" i="6" s="1"/>
  <c r="R84" i="6" s="1"/>
  <c r="D84" i="6" s="1"/>
  <c r="AA96" i="6"/>
  <c r="O96" i="6" s="1"/>
  <c r="Q96" i="6" s="1"/>
  <c r="R96" i="6" s="1"/>
  <c r="D96" i="6" s="1"/>
  <c r="AA89" i="6"/>
  <c r="O89" i="6" s="1"/>
  <c r="Q89" i="6" s="1"/>
  <c r="R89" i="6" s="1"/>
  <c r="D89" i="6" s="1"/>
  <c r="AA55" i="6"/>
  <c r="O55" i="6" s="1"/>
  <c r="Q55" i="6" s="1"/>
  <c r="R55" i="6" s="1"/>
  <c r="D55" i="6" s="1"/>
  <c r="AA112" i="6"/>
  <c r="O112" i="6" s="1"/>
  <c r="Q112" i="6" s="1"/>
  <c r="R112" i="6" s="1"/>
  <c r="D112" i="6" s="1"/>
  <c r="AA26" i="6"/>
  <c r="O26" i="6" s="1"/>
  <c r="Q26" i="6" s="1"/>
  <c r="R26" i="6" s="1"/>
  <c r="D26" i="6" s="1"/>
  <c r="AA95" i="6"/>
  <c r="O95" i="6" s="1"/>
  <c r="Q95" i="6" s="1"/>
  <c r="R95" i="6" s="1"/>
  <c r="D95" i="6" s="1"/>
  <c r="AA38" i="6"/>
  <c r="O38" i="6" s="1"/>
  <c r="Q38" i="6" s="1"/>
  <c r="R38" i="6" s="1"/>
  <c r="D38" i="6" s="1"/>
  <c r="AA162" i="6"/>
  <c r="O162" i="6" s="1"/>
  <c r="Q162" i="6" s="1"/>
  <c r="R162" i="6" s="1"/>
  <c r="D162" i="6" s="1"/>
  <c r="AA40" i="6"/>
  <c r="O40" i="6" s="1"/>
  <c r="Q40" i="6" s="1"/>
  <c r="R40" i="6" s="1"/>
  <c r="D40" i="6" s="1"/>
  <c r="AA171" i="6"/>
  <c r="O171" i="6" s="1"/>
  <c r="Q171" i="6" s="1"/>
  <c r="R171" i="6" s="1"/>
  <c r="D171" i="6" s="1"/>
  <c r="AA72" i="6"/>
  <c r="O72" i="6" s="1"/>
  <c r="Q72" i="6" s="1"/>
  <c r="R72" i="6" s="1"/>
  <c r="D72" i="6" s="1"/>
  <c r="AA27" i="6"/>
  <c r="O27" i="6" s="1"/>
  <c r="Q27" i="6" s="1"/>
  <c r="R27" i="6" s="1"/>
  <c r="D27" i="6" s="1"/>
  <c r="AA157" i="6"/>
  <c r="O157" i="6" s="1"/>
  <c r="Q157" i="6" s="1"/>
  <c r="R157" i="6" s="1"/>
  <c r="D157" i="6" s="1"/>
  <c r="AA47" i="6"/>
  <c r="O47" i="6" s="1"/>
  <c r="Q47" i="6" s="1"/>
  <c r="R47" i="6" s="1"/>
  <c r="D47" i="6" s="1"/>
  <c r="AA189" i="6"/>
  <c r="O189" i="6" s="1"/>
  <c r="Q189" i="6" s="1"/>
  <c r="R189" i="6" s="1"/>
  <c r="D189" i="6" s="1"/>
  <c r="AA75" i="6"/>
  <c r="O75" i="6" s="1"/>
  <c r="Q75" i="6" s="1"/>
  <c r="R75" i="6" s="1"/>
  <c r="D75" i="6" s="1"/>
  <c r="AA134" i="6"/>
  <c r="O134" i="6" s="1"/>
  <c r="Q134" i="6" s="1"/>
  <c r="R134" i="6" s="1"/>
  <c r="D134" i="6" s="1"/>
  <c r="AA44" i="6"/>
  <c r="O44" i="6" s="1"/>
  <c r="Q44" i="6" s="1"/>
  <c r="R44" i="6" s="1"/>
  <c r="D44" i="6" s="1"/>
  <c r="AA179" i="6"/>
  <c r="O179" i="6" s="1"/>
  <c r="Q179" i="6" s="1"/>
  <c r="R179" i="6" s="1"/>
  <c r="D179" i="6" s="1"/>
  <c r="AA67" i="6"/>
  <c r="O67" i="6" s="1"/>
  <c r="Q67" i="6" s="1"/>
  <c r="R67" i="6" s="1"/>
  <c r="D67" i="6" s="1"/>
  <c r="AA175" i="6"/>
  <c r="O175" i="6" s="1"/>
  <c r="Q175" i="6" s="1"/>
  <c r="R175" i="6" s="1"/>
  <c r="D175" i="6" s="1"/>
  <c r="AA143" i="6"/>
  <c r="O143" i="6" s="1"/>
  <c r="Q143" i="6" s="1"/>
  <c r="R143" i="6" s="1"/>
  <c r="D143" i="6" s="1"/>
  <c r="AA20" i="6"/>
  <c r="O20" i="6" s="1"/>
  <c r="Q20" i="6" s="1"/>
  <c r="R20" i="6" s="1"/>
  <c r="D20" i="6" s="1"/>
  <c r="AA19" i="6"/>
  <c r="O19" i="6" s="1"/>
  <c r="Q19" i="6" s="1"/>
  <c r="R19" i="6" s="1"/>
  <c r="D19" i="6" s="1"/>
  <c r="AA68" i="6"/>
  <c r="O68" i="6" s="1"/>
  <c r="Q68" i="6" s="1"/>
  <c r="R68" i="6" s="1"/>
  <c r="D68" i="6" s="1"/>
  <c r="AA11" i="6"/>
  <c r="O11" i="6" s="1"/>
  <c r="Q11" i="6" s="1"/>
  <c r="R11" i="6" s="1"/>
  <c r="D11" i="6" s="1"/>
  <c r="AA185" i="6"/>
  <c r="O185" i="6" s="1"/>
  <c r="Q185" i="6" s="1"/>
  <c r="R185" i="6" s="1"/>
  <c r="D185" i="6" s="1"/>
  <c r="Z12" i="6"/>
  <c r="N111" i="3"/>
  <c r="N333" i="3"/>
  <c r="Q333" i="3" s="1"/>
  <c r="N110" i="3"/>
  <c r="N223" i="3"/>
  <c r="N99" i="3"/>
  <c r="N20" i="2"/>
  <c r="N8" i="2"/>
  <c r="N114" i="1"/>
  <c r="N95" i="1"/>
  <c r="N235" i="1"/>
  <c r="N66" i="1"/>
  <c r="AK153" i="1"/>
  <c r="AL153" i="1" s="1"/>
  <c r="X153" i="1" s="1"/>
  <c r="Z153" i="1" s="1"/>
  <c r="AA153" i="1" s="1"/>
  <c r="N153" i="1"/>
  <c r="Q111" i="3" l="1"/>
  <c r="R111" i="3" s="1"/>
  <c r="D111" i="3" s="1"/>
  <c r="Q223" i="3"/>
  <c r="R223" i="3" s="1"/>
  <c r="D223" i="3" s="1"/>
  <c r="O252" i="3"/>
  <c r="Q252" i="3" s="1"/>
  <c r="R252" i="3" s="1"/>
  <c r="D252" i="3" s="1"/>
  <c r="R333" i="3"/>
  <c r="D333" i="3" s="1"/>
  <c r="O153" i="1"/>
  <c r="Q153" i="1" s="1"/>
  <c r="R153" i="1" s="1"/>
  <c r="D153" i="1" s="1"/>
  <c r="AA12" i="6"/>
  <c r="O12" i="6" s="1"/>
  <c r="Q12" i="6" s="1"/>
  <c r="R12" i="6" s="1"/>
  <c r="D12" i="6" s="1"/>
  <c r="N18" i="1"/>
  <c r="N28" i="1"/>
  <c r="N16" i="1"/>
  <c r="N21" i="1"/>
  <c r="N27" i="1"/>
  <c r="N30" i="1"/>
  <c r="N14" i="1"/>
  <c r="N51" i="1"/>
  <c r="N158" i="1"/>
  <c r="N106" i="1"/>
  <c r="N170" i="1"/>
  <c r="N161" i="1"/>
  <c r="N248" i="1"/>
  <c r="N159" i="1"/>
  <c r="N201" i="1"/>
  <c r="N252" i="1"/>
  <c r="N142" i="1"/>
  <c r="N167" i="1"/>
  <c r="N33" i="2"/>
  <c r="N17" i="2"/>
  <c r="N14" i="2"/>
  <c r="N18" i="2"/>
  <c r="N26" i="2"/>
  <c r="N241" i="1"/>
  <c r="N210" i="1"/>
  <c r="N178" i="1"/>
  <c r="N180" i="1"/>
  <c r="N33" i="1"/>
  <c r="N213" i="1"/>
  <c r="N157" i="1"/>
  <c r="N44" i="1"/>
  <c r="N103" i="1"/>
  <c r="N173" i="1"/>
  <c r="N225" i="1"/>
  <c r="N131" i="1"/>
  <c r="N101" i="1"/>
  <c r="N88" i="1"/>
  <c r="N185" i="1"/>
  <c r="N140" i="1"/>
  <c r="N124" i="1"/>
  <c r="N69" i="1"/>
  <c r="N17" i="1"/>
  <c r="O259" i="1"/>
  <c r="Q259" i="1" s="1"/>
  <c r="R259" i="1" s="1"/>
  <c r="D259" i="1" s="1"/>
  <c r="AK172" i="1"/>
  <c r="AL172" i="1" s="1"/>
  <c r="AK31" i="1"/>
  <c r="AL31" i="1" s="1"/>
  <c r="AK47" i="1"/>
  <c r="AL47" i="1" s="1"/>
  <c r="AK63" i="1"/>
  <c r="AL63" i="1" s="1"/>
  <c r="AK111" i="1"/>
  <c r="AL111" i="1" s="1"/>
  <c r="AK174" i="1"/>
  <c r="AL174" i="1" s="1"/>
  <c r="AK232" i="1"/>
  <c r="AL232" i="1" s="1"/>
  <c r="AK237" i="1"/>
  <c r="AL237" i="1" s="1"/>
  <c r="AK259" i="1"/>
  <c r="AL259" i="1" s="1"/>
  <c r="AK33" i="1"/>
  <c r="AL33" i="1" s="1"/>
  <c r="AK37" i="1"/>
  <c r="AL37" i="1" s="1"/>
  <c r="AK32" i="1"/>
  <c r="AL32" i="1" s="1"/>
  <c r="AK39" i="1"/>
  <c r="AL39" i="1" s="1"/>
  <c r="AK51" i="1"/>
  <c r="AL51" i="1" s="1"/>
  <c r="AK7" i="1"/>
  <c r="AL7" i="1" s="1"/>
  <c r="AK9" i="1"/>
  <c r="AL9" i="1" s="1"/>
  <c r="AK60" i="1"/>
  <c r="AL60" i="1" s="1"/>
  <c r="AK68" i="1"/>
  <c r="AL68" i="1" s="1"/>
  <c r="AK69" i="1"/>
  <c r="AL69" i="1" s="1"/>
  <c r="AK10" i="1"/>
  <c r="AL10" i="1" s="1"/>
  <c r="AK85" i="1"/>
  <c r="AL85" i="1" s="1"/>
  <c r="AK92" i="1"/>
  <c r="AL92" i="1" s="1"/>
  <c r="AK93" i="1"/>
  <c r="AL93" i="1" s="1"/>
  <c r="AK101" i="1"/>
  <c r="AL101" i="1" s="1"/>
  <c r="AK102" i="1"/>
  <c r="AL102" i="1" s="1"/>
  <c r="AK127" i="1"/>
  <c r="AL127" i="1" s="1"/>
  <c r="AK132" i="1"/>
  <c r="AL132" i="1" s="1"/>
  <c r="AK12" i="1"/>
  <c r="AL12" i="1" s="1"/>
  <c r="AK137" i="1"/>
  <c r="AL137" i="1" s="1"/>
  <c r="AK138" i="1"/>
  <c r="AL138" i="1" s="1"/>
  <c r="AK140" i="1"/>
  <c r="AL140" i="1" s="1"/>
  <c r="AK142" i="1"/>
  <c r="AL142" i="1" s="1"/>
  <c r="AK15" i="1"/>
  <c r="AL15" i="1" s="1"/>
  <c r="AK143" i="1"/>
  <c r="AL143" i="1" s="1"/>
  <c r="AK147" i="1"/>
  <c r="AL147" i="1" s="1"/>
  <c r="AK150" i="1"/>
  <c r="AL150" i="1" s="1"/>
  <c r="AK163" i="1"/>
  <c r="AL163" i="1" s="1"/>
  <c r="AK173" i="1"/>
  <c r="AL173" i="1" s="1"/>
  <c r="AK175" i="1"/>
  <c r="AL175" i="1" s="1"/>
  <c r="AK177" i="1"/>
  <c r="AL177" i="1" s="1"/>
  <c r="AK180" i="1"/>
  <c r="AL180" i="1" s="1"/>
  <c r="AK16" i="1"/>
  <c r="AL16" i="1" s="1"/>
  <c r="AK184" i="1"/>
  <c r="AL184" i="1" s="1"/>
  <c r="AK188" i="1"/>
  <c r="AL188" i="1" s="1"/>
  <c r="AK190" i="1"/>
  <c r="AL190" i="1" s="1"/>
  <c r="AK193" i="1"/>
  <c r="AL193" i="1" s="1"/>
  <c r="AK198" i="1"/>
  <c r="AL198" i="1" s="1"/>
  <c r="AK199" i="1"/>
  <c r="AL199" i="1" s="1"/>
  <c r="AK210" i="1"/>
  <c r="AL210" i="1" s="1"/>
  <c r="AK211" i="1"/>
  <c r="AL211" i="1" s="1"/>
  <c r="AK212" i="1"/>
  <c r="AL212" i="1" s="1"/>
  <c r="AK216" i="1"/>
  <c r="AL216" i="1" s="1"/>
  <c r="AK218" i="1"/>
  <c r="AL218" i="1" s="1"/>
  <c r="AK22" i="1"/>
  <c r="AL22" i="1" s="1"/>
  <c r="AK222" i="1"/>
  <c r="AL222" i="1" s="1"/>
  <c r="AK226" i="1"/>
  <c r="AL226" i="1" s="1"/>
  <c r="AK213" i="1"/>
  <c r="AL213" i="1" s="1"/>
  <c r="AK227" i="1"/>
  <c r="AL227" i="1" s="1"/>
  <c r="AK230" i="1"/>
  <c r="AL230" i="1" s="1"/>
  <c r="AK242" i="1"/>
  <c r="AL242" i="1" s="1"/>
  <c r="AK246" i="1"/>
  <c r="AL246" i="1" s="1"/>
  <c r="AK250" i="1"/>
  <c r="AL250" i="1" s="1"/>
  <c r="AK258" i="1"/>
  <c r="AL258" i="1" s="1"/>
  <c r="AK254" i="1"/>
  <c r="AL254" i="1" s="1"/>
  <c r="V116" i="6"/>
  <c r="U116" i="6"/>
  <c r="T110" i="6"/>
  <c r="Z110" i="6" s="1"/>
  <c r="V109" i="6"/>
  <c r="U109" i="6"/>
  <c r="V36" i="6"/>
  <c r="U36" i="6"/>
  <c r="U23" i="6"/>
  <c r="Z23" i="6" s="1"/>
  <c r="AD197" i="6"/>
  <c r="AK197" i="6" s="1"/>
  <c r="AL197" i="6" s="1"/>
  <c r="X197" i="6" s="1"/>
  <c r="Z197" i="6" s="1"/>
  <c r="AI190" i="6"/>
  <c r="AK190" i="6" s="1"/>
  <c r="AL190" i="6" s="1"/>
  <c r="X190" i="6" s="1"/>
  <c r="Z190" i="6" s="1"/>
  <c r="AJ182" i="6"/>
  <c r="AD182" i="6"/>
  <c r="AK182" i="6" s="1"/>
  <c r="AH181" i="6"/>
  <c r="AK181" i="6" s="1"/>
  <c r="AL181" i="6" s="1"/>
  <c r="X181" i="6" s="1"/>
  <c r="W181" i="6"/>
  <c r="AK172" i="6"/>
  <c r="AL172" i="6" s="1"/>
  <c r="X172" i="6" s="1"/>
  <c r="Z172" i="6" s="1"/>
  <c r="AH169" i="6"/>
  <c r="AK169" i="6" s="1"/>
  <c r="AL169" i="6" s="1"/>
  <c r="X169" i="6" s="1"/>
  <c r="Z169" i="6" s="1"/>
  <c r="AH167" i="6"/>
  <c r="AK167" i="6" s="1"/>
  <c r="AL167" i="6" s="1"/>
  <c r="X167" i="6" s="1"/>
  <c r="W167" i="6"/>
  <c r="V167" i="6"/>
  <c r="U167" i="6"/>
  <c r="AK166" i="6"/>
  <c r="AL166" i="6" s="1"/>
  <c r="X166" i="6" s="1"/>
  <c r="Z166" i="6" s="1"/>
  <c r="AD165" i="6"/>
  <c r="AK165" i="6" s="1"/>
  <c r="AL165" i="6" s="1"/>
  <c r="X165" i="6" s="1"/>
  <c r="W165" i="6"/>
  <c r="U165" i="6"/>
  <c r="AH158" i="6"/>
  <c r="AK158" i="6" s="1"/>
  <c r="AL158" i="6" s="1"/>
  <c r="X158" i="6" s="1"/>
  <c r="Z158" i="6" s="1"/>
  <c r="AJ152" i="6"/>
  <c r="AI152" i="6"/>
  <c r="AH152" i="6"/>
  <c r="W148" i="6"/>
  <c r="U148" i="6"/>
  <c r="AC146" i="6"/>
  <c r="AK146" i="6" s="1"/>
  <c r="AL146" i="6" s="1"/>
  <c r="X146" i="6" s="1"/>
  <c r="V146" i="6"/>
  <c r="AI141" i="6"/>
  <c r="AF141" i="6"/>
  <c r="V141" i="6"/>
  <c r="AI140" i="6"/>
  <c r="AF140" i="6"/>
  <c r="V140" i="6"/>
  <c r="AJ137" i="6"/>
  <c r="AI137" i="6"/>
  <c r="AH137" i="6"/>
  <c r="V137" i="6"/>
  <c r="AH132" i="6"/>
  <c r="AG132" i="6"/>
  <c r="V132" i="6"/>
  <c r="U132" i="6"/>
  <c r="T132" i="6"/>
  <c r="AJ131" i="6"/>
  <c r="AF131" i="6"/>
  <c r="AK131" i="6" s="1"/>
  <c r="AF129" i="6"/>
  <c r="AK129" i="6" s="1"/>
  <c r="AL129" i="6" s="1"/>
  <c r="X129" i="6" s="1"/>
  <c r="Z129" i="6" s="1"/>
  <c r="AF124" i="6"/>
  <c r="AK124" i="6" s="1"/>
  <c r="AL124" i="6" s="1"/>
  <c r="X124" i="6" s="1"/>
  <c r="Z124" i="6" s="1"/>
  <c r="AH122" i="6"/>
  <c r="AK122" i="6" s="1"/>
  <c r="AL122" i="6" s="1"/>
  <c r="X122" i="6" s="1"/>
  <c r="U122" i="6"/>
  <c r="AF118" i="6"/>
  <c r="AK118" i="6" s="1"/>
  <c r="AL118" i="6" s="1"/>
  <c r="X118" i="6" s="1"/>
  <c r="Z118" i="6" s="1"/>
  <c r="AH114" i="6"/>
  <c r="AK114" i="6" s="1"/>
  <c r="AL114" i="6" s="1"/>
  <c r="X114" i="6" s="1"/>
  <c r="W114" i="6"/>
  <c r="V114" i="6"/>
  <c r="U114" i="6"/>
  <c r="AH111" i="6"/>
  <c r="AK111" i="6" s="1"/>
  <c r="AL111" i="6" s="1"/>
  <c r="X111" i="6" s="1"/>
  <c r="W111" i="6"/>
  <c r="U111" i="6"/>
  <c r="AJ106" i="6"/>
  <c r="AF106" i="6"/>
  <c r="AK106" i="6" s="1"/>
  <c r="AF113" i="6"/>
  <c r="AK113" i="6" s="1"/>
  <c r="AL113" i="6" s="1"/>
  <c r="X113" i="6" s="1"/>
  <c r="Z113" i="6" s="1"/>
  <c r="AF105" i="6"/>
  <c r="AK105" i="6" s="1"/>
  <c r="AL105" i="6" s="1"/>
  <c r="X105" i="6" s="1"/>
  <c r="Z105" i="6" s="1"/>
  <c r="AH104" i="6"/>
  <c r="AK104" i="6" s="1"/>
  <c r="AL104" i="6" s="1"/>
  <c r="X104" i="6" s="1"/>
  <c r="Z104" i="6" s="1"/>
  <c r="AG103" i="6"/>
  <c r="AK103" i="6" s="1"/>
  <c r="AL103" i="6" s="1"/>
  <c r="X103" i="6" s="1"/>
  <c r="W103" i="6"/>
  <c r="AF94" i="6"/>
  <c r="AK94" i="6" s="1"/>
  <c r="AL94" i="6" s="1"/>
  <c r="X94" i="6" s="1"/>
  <c r="Z94" i="6" s="1"/>
  <c r="AD92" i="6"/>
  <c r="AK92" i="6" s="1"/>
  <c r="AL92" i="6" s="1"/>
  <c r="X92" i="6" s="1"/>
  <c r="Z92" i="6" s="1"/>
  <c r="AK90" i="6"/>
  <c r="AL90" i="6" s="1"/>
  <c r="X90" i="6" s="1"/>
  <c r="Z90" i="6" s="1"/>
  <c r="AJ80" i="6"/>
  <c r="AH80" i="6"/>
  <c r="AG80" i="6"/>
  <c r="AF80" i="6"/>
  <c r="Y80" i="6"/>
  <c r="W80" i="6"/>
  <c r="V80" i="6"/>
  <c r="W76" i="6"/>
  <c r="V76" i="6"/>
  <c r="U76" i="6"/>
  <c r="T76" i="6"/>
  <c r="AF73" i="6"/>
  <c r="AK73" i="6" s="1"/>
  <c r="AL73" i="6" s="1"/>
  <c r="X73" i="6" s="1"/>
  <c r="Z73" i="6" s="1"/>
  <c r="AI65" i="6"/>
  <c r="AH65" i="6"/>
  <c r="AG65" i="6"/>
  <c r="W65" i="6"/>
  <c r="V65" i="6"/>
  <c r="AH59" i="6"/>
  <c r="AK59" i="6" s="1"/>
  <c r="AL59" i="6" s="1"/>
  <c r="X59" i="6" s="1"/>
  <c r="Z59" i="6" s="1"/>
  <c r="AD54" i="6"/>
  <c r="AK54" i="6" s="1"/>
  <c r="AL54" i="6" s="1"/>
  <c r="X54" i="6" s="1"/>
  <c r="Z54" i="6" s="1"/>
  <c r="AF48" i="6"/>
  <c r="AK48" i="6" s="1"/>
  <c r="AL48" i="6" s="1"/>
  <c r="X48" i="6" s="1"/>
  <c r="Z48" i="6" s="1"/>
  <c r="AJ32" i="6"/>
  <c r="AH32" i="6"/>
  <c r="AG32" i="6"/>
  <c r="AF32" i="6"/>
  <c r="Y32" i="6"/>
  <c r="W32" i="6"/>
  <c r="V32" i="6"/>
  <c r="AD22" i="6"/>
  <c r="AK22" i="6" s="1"/>
  <c r="AL22" i="6" s="1"/>
  <c r="X22" i="6" s="1"/>
  <c r="Z22" i="6" s="1"/>
  <c r="V174" i="6"/>
  <c r="AC174" i="6"/>
  <c r="AK174" i="6" s="1"/>
  <c r="AL174" i="6" s="1"/>
  <c r="X174" i="6" s="1"/>
  <c r="AC154" i="6"/>
  <c r="AD154" i="6"/>
  <c r="AF154" i="6"/>
  <c r="U98" i="6"/>
  <c r="AF98" i="6"/>
  <c r="AK98" i="6" s="1"/>
  <c r="AJ98" i="6"/>
  <c r="AI71" i="6"/>
  <c r="AH71" i="6"/>
  <c r="AF71" i="6"/>
  <c r="AE71" i="6"/>
  <c r="W71" i="6"/>
  <c r="V71" i="6"/>
  <c r="U71" i="6"/>
  <c r="T71" i="6"/>
  <c r="AH8" i="6"/>
  <c r="AG8" i="6"/>
  <c r="AF8" i="6"/>
  <c r="Y8" i="6"/>
  <c r="W8" i="6"/>
  <c r="V8" i="6"/>
  <c r="U8" i="6"/>
  <c r="AC15" i="8"/>
  <c r="AJ15" i="8" s="1"/>
  <c r="AK15" i="8" s="1"/>
  <c r="W15" i="8" s="1"/>
  <c r="Y15" i="8" s="1"/>
  <c r="AJ11" i="8"/>
  <c r="AK11" i="8" s="1"/>
  <c r="W11" i="8" s="1"/>
  <c r="Y11" i="8" s="1"/>
  <c r="AH6" i="8"/>
  <c r="AG6" i="8"/>
  <c r="AF6" i="8"/>
  <c r="AE6" i="8"/>
  <c r="U6" i="8"/>
  <c r="T6" i="8"/>
  <c r="S6" i="8"/>
  <c r="Y87" i="3"/>
  <c r="T87" i="3"/>
  <c r="Z87" i="3" s="1"/>
  <c r="U254" i="1"/>
  <c r="V258" i="1"/>
  <c r="U250" i="1"/>
  <c r="W246" i="1"/>
  <c r="V246" i="1"/>
  <c r="U246" i="1"/>
  <c r="Y242" i="1"/>
  <c r="W242" i="1"/>
  <c r="Z242" i="1" s="1"/>
  <c r="V230" i="1"/>
  <c r="X227" i="1"/>
  <c r="W227" i="1"/>
  <c r="V227" i="1"/>
  <c r="O226" i="1"/>
  <c r="Q226" i="1" s="1"/>
  <c r="R226" i="1" s="1"/>
  <c r="D226" i="1" s="1"/>
  <c r="U222" i="1"/>
  <c r="U22" i="1"/>
  <c r="Z22" i="1" s="1"/>
  <c r="AA22" i="1" s="1"/>
  <c r="V218" i="1"/>
  <c r="V216" i="1"/>
  <c r="W212" i="1"/>
  <c r="V212" i="1"/>
  <c r="U212" i="1"/>
  <c r="V211" i="1"/>
  <c r="V199" i="1"/>
  <c r="V198" i="1"/>
  <c r="V193" i="1"/>
  <c r="V190" i="1"/>
  <c r="V188" i="1"/>
  <c r="U184" i="1"/>
  <c r="W16" i="1"/>
  <c r="V16" i="1"/>
  <c r="U16" i="1"/>
  <c r="V177" i="1"/>
  <c r="U175" i="1"/>
  <c r="O173" i="1"/>
  <c r="V163" i="1"/>
  <c r="U150" i="1"/>
  <c r="O147" i="1"/>
  <c r="Q147" i="1" s="1"/>
  <c r="R147" i="1" s="1"/>
  <c r="D147" i="1" s="1"/>
  <c r="O143" i="1"/>
  <c r="Q143" i="1" s="1"/>
  <c r="R143" i="1" s="1"/>
  <c r="D143" i="1" s="1"/>
  <c r="W15" i="1"/>
  <c r="U15" i="1"/>
  <c r="O140" i="1"/>
  <c r="W138" i="1"/>
  <c r="V137" i="1"/>
  <c r="W12" i="1"/>
  <c r="V132" i="1"/>
  <c r="U127" i="1"/>
  <c r="V102" i="1"/>
  <c r="V93" i="1"/>
  <c r="Z93" i="1" s="1"/>
  <c r="AA93" i="1" s="1"/>
  <c r="W92" i="1"/>
  <c r="O85" i="1"/>
  <c r="Q85" i="1" s="1"/>
  <c r="R85" i="1" s="1"/>
  <c r="D85" i="1" s="1"/>
  <c r="O10" i="1"/>
  <c r="Q10" i="1" s="1"/>
  <c r="R10" i="1" s="1"/>
  <c r="D10" i="1" s="1"/>
  <c r="V68" i="1"/>
  <c r="V60" i="1"/>
  <c r="O9" i="1"/>
  <c r="Q9" i="1" s="1"/>
  <c r="R9" i="1" s="1"/>
  <c r="D9" i="1" s="1"/>
  <c r="W7" i="1"/>
  <c r="U7" i="1"/>
  <c r="U51" i="1"/>
  <c r="Z51" i="1" s="1"/>
  <c r="AA51" i="1" s="1"/>
  <c r="V39" i="1"/>
  <c r="V32" i="1"/>
  <c r="U32" i="1"/>
  <c r="V37" i="1"/>
  <c r="Z227" i="1" l="1"/>
  <c r="AA227" i="1" s="1"/>
  <c r="O227" i="1" s="1"/>
  <c r="Q227" i="1" s="1"/>
  <c r="R227" i="1" s="1"/>
  <c r="D227" i="1" s="1"/>
  <c r="Z32" i="1"/>
  <c r="AA32" i="1" s="1"/>
  <c r="O32" i="1" s="1"/>
  <c r="Q32" i="1" s="1"/>
  <c r="R32" i="1" s="1"/>
  <c r="D32" i="1" s="1"/>
  <c r="Q14" i="2"/>
  <c r="R14" i="2" s="1"/>
  <c r="D14" i="2" s="1"/>
  <c r="Q17" i="2"/>
  <c r="R17" i="2" s="1"/>
  <c r="D17" i="2" s="1"/>
  <c r="Q33" i="2"/>
  <c r="R33" i="2" s="1"/>
  <c r="D33" i="2" s="1"/>
  <c r="AA242" i="1"/>
  <c r="O242" i="1" s="1"/>
  <c r="Q242" i="1" s="1"/>
  <c r="R242" i="1" s="1"/>
  <c r="D242" i="1" s="1"/>
  <c r="Z246" i="1"/>
  <c r="AA246" i="1" s="1"/>
  <c r="O246" i="1" s="1"/>
  <c r="Q246" i="1" s="1"/>
  <c r="R246" i="1" s="1"/>
  <c r="D246" i="1" s="1"/>
  <c r="Z16" i="1"/>
  <c r="AA16" i="1" s="1"/>
  <c r="O16" i="1" s="1"/>
  <c r="Q16" i="1" s="1"/>
  <c r="R16" i="1" s="1"/>
  <c r="D16" i="1" s="1"/>
  <c r="Z163" i="1"/>
  <c r="AA163" i="1" s="1"/>
  <c r="O163" i="1" s="1"/>
  <c r="Q163" i="1" s="1"/>
  <c r="R163" i="1" s="1"/>
  <c r="D163" i="1" s="1"/>
  <c r="Z216" i="1"/>
  <c r="AA216" i="1" s="1"/>
  <c r="O216" i="1" s="1"/>
  <c r="Q216" i="1" s="1"/>
  <c r="R216" i="1" s="1"/>
  <c r="D216" i="1" s="1"/>
  <c r="Z218" i="1"/>
  <c r="AA218" i="1" s="1"/>
  <c r="O218" i="1" s="1"/>
  <c r="Q218" i="1" s="1"/>
  <c r="R218" i="1" s="1"/>
  <c r="D218" i="1" s="1"/>
  <c r="Q103" i="1"/>
  <c r="R103" i="1" s="1"/>
  <c r="D103" i="1" s="1"/>
  <c r="Z68" i="1"/>
  <c r="AA68" i="1" s="1"/>
  <c r="O68" i="1" s="1"/>
  <c r="Q68" i="1" s="1"/>
  <c r="R68" i="1" s="1"/>
  <c r="D68" i="1" s="1"/>
  <c r="Q173" i="1"/>
  <c r="R173" i="1" s="1"/>
  <c r="D173" i="1" s="1"/>
  <c r="Z222" i="1"/>
  <c r="AA222" i="1" s="1"/>
  <c r="O222" i="1" s="1"/>
  <c r="Q222" i="1" s="1"/>
  <c r="R222" i="1" s="1"/>
  <c r="D222" i="1" s="1"/>
  <c r="Z250" i="1"/>
  <c r="AA250" i="1" s="1"/>
  <c r="O250" i="1" s="1"/>
  <c r="Q250" i="1" s="1"/>
  <c r="R250" i="1" s="1"/>
  <c r="D250" i="1" s="1"/>
  <c r="Q44" i="1"/>
  <c r="R44" i="1" s="1"/>
  <c r="D44" i="1" s="1"/>
  <c r="Z127" i="1"/>
  <c r="AA127" i="1" s="1"/>
  <c r="O127" i="1" s="1"/>
  <c r="Q127" i="1" s="1"/>
  <c r="R127" i="1" s="1"/>
  <c r="D127" i="1" s="1"/>
  <c r="Z12" i="1"/>
  <c r="AA12" i="1" s="1"/>
  <c r="O12" i="1" s="1"/>
  <c r="Q12" i="1" s="1"/>
  <c r="R12" i="1" s="1"/>
  <c r="D12" i="1" s="1"/>
  <c r="Z254" i="1"/>
  <c r="AA254" i="1" s="1"/>
  <c r="O254" i="1" s="1"/>
  <c r="Q254" i="1" s="1"/>
  <c r="R254" i="1" s="1"/>
  <c r="D254" i="1" s="1"/>
  <c r="Z175" i="1"/>
  <c r="AA175" i="1" s="1"/>
  <c r="O175" i="1" s="1"/>
  <c r="Q175" i="1" s="1"/>
  <c r="R175" i="1" s="1"/>
  <c r="D175" i="1" s="1"/>
  <c r="Q17" i="1"/>
  <c r="R17" i="1" s="1"/>
  <c r="D17" i="1" s="1"/>
  <c r="Q178" i="1"/>
  <c r="R178" i="1" s="1"/>
  <c r="D178" i="1" s="1"/>
  <c r="Z137" i="1"/>
  <c r="AA137" i="1" s="1"/>
  <c r="O137" i="1" s="1"/>
  <c r="Q137" i="1" s="1"/>
  <c r="R137" i="1" s="1"/>
  <c r="D137" i="1" s="1"/>
  <c r="Z39" i="1"/>
  <c r="AA39" i="1" s="1"/>
  <c r="O39" i="1" s="1"/>
  <c r="Q39" i="1" s="1"/>
  <c r="R39" i="1" s="1"/>
  <c r="D39" i="1" s="1"/>
  <c r="Z150" i="1"/>
  <c r="AA150" i="1" s="1"/>
  <c r="O150" i="1" s="1"/>
  <c r="Q150" i="1" s="1"/>
  <c r="R150" i="1" s="1"/>
  <c r="D150" i="1" s="1"/>
  <c r="Q131" i="1"/>
  <c r="R131" i="1" s="1"/>
  <c r="D131" i="1" s="1"/>
  <c r="Z92" i="1"/>
  <c r="AA92" i="1" s="1"/>
  <c r="O92" i="1" s="1"/>
  <c r="Q92" i="1" s="1"/>
  <c r="R92" i="1" s="1"/>
  <c r="D92" i="1" s="1"/>
  <c r="Z102" i="1"/>
  <c r="AA102" i="1" s="1"/>
  <c r="O102" i="1" s="1"/>
  <c r="Q102" i="1" s="1"/>
  <c r="R102" i="1" s="1"/>
  <c r="D102" i="1" s="1"/>
  <c r="Z184" i="1"/>
  <c r="AA184" i="1" s="1"/>
  <c r="O184" i="1" s="1"/>
  <c r="Q184" i="1" s="1"/>
  <c r="R184" i="1" s="1"/>
  <c r="D184" i="1" s="1"/>
  <c r="Z190" i="1"/>
  <c r="AA190" i="1" s="1"/>
  <c r="O190" i="1" s="1"/>
  <c r="Q190" i="1" s="1"/>
  <c r="R190" i="1" s="1"/>
  <c r="D190" i="1" s="1"/>
  <c r="Z230" i="1"/>
  <c r="AA230" i="1" s="1"/>
  <c r="O230" i="1" s="1"/>
  <c r="Q230" i="1" s="1"/>
  <c r="R230" i="1" s="1"/>
  <c r="D230" i="1" s="1"/>
  <c r="Q124" i="1"/>
  <c r="R124" i="1" s="1"/>
  <c r="D124" i="1" s="1"/>
  <c r="Q241" i="1"/>
  <c r="R241" i="1" s="1"/>
  <c r="D241" i="1" s="1"/>
  <c r="Z258" i="1"/>
  <c r="AA258" i="1" s="1"/>
  <c r="O258" i="1" s="1"/>
  <c r="Q258" i="1" s="1"/>
  <c r="R258" i="1" s="1"/>
  <c r="D258" i="1" s="1"/>
  <c r="Z177" i="1"/>
  <c r="AA177" i="1" s="1"/>
  <c r="O177" i="1" s="1"/>
  <c r="Q177" i="1" s="1"/>
  <c r="R177" i="1" s="1"/>
  <c r="D177" i="1" s="1"/>
  <c r="Z37" i="1"/>
  <c r="AA37" i="1" s="1"/>
  <c r="O37" i="1" s="1"/>
  <c r="Q37" i="1" s="1"/>
  <c r="R37" i="1" s="1"/>
  <c r="D37" i="1" s="1"/>
  <c r="Z188" i="1"/>
  <c r="AA188" i="1" s="1"/>
  <c r="O188" i="1" s="1"/>
  <c r="Q188" i="1" s="1"/>
  <c r="R188" i="1" s="1"/>
  <c r="D188" i="1" s="1"/>
  <c r="Z138" i="1"/>
  <c r="AA138" i="1" s="1"/>
  <c r="O138" i="1" s="1"/>
  <c r="Q138" i="1" s="1"/>
  <c r="R138" i="1" s="1"/>
  <c r="D138" i="1" s="1"/>
  <c r="Z193" i="1"/>
  <c r="AA193" i="1" s="1"/>
  <c r="O193" i="1" s="1"/>
  <c r="Q193" i="1" s="1"/>
  <c r="R193" i="1" s="1"/>
  <c r="D193" i="1" s="1"/>
  <c r="Z7" i="1"/>
  <c r="AA7" i="1" s="1"/>
  <c r="O7" i="1" s="1"/>
  <c r="Q7" i="1" s="1"/>
  <c r="R7" i="1" s="1"/>
  <c r="D7" i="1" s="1"/>
  <c r="Z15" i="1"/>
  <c r="AA15" i="1" s="1"/>
  <c r="O15" i="1" s="1"/>
  <c r="Q15" i="1" s="1"/>
  <c r="R15" i="1" s="1"/>
  <c r="D15" i="1" s="1"/>
  <c r="Z198" i="1"/>
  <c r="AA198" i="1" s="1"/>
  <c r="O198" i="1" s="1"/>
  <c r="Q198" i="1" s="1"/>
  <c r="R198" i="1" s="1"/>
  <c r="D198" i="1" s="1"/>
  <c r="Q140" i="1"/>
  <c r="R140" i="1" s="1"/>
  <c r="D140" i="1" s="1"/>
  <c r="Q225" i="1"/>
  <c r="R225" i="1" s="1"/>
  <c r="D225" i="1" s="1"/>
  <c r="Q157" i="1"/>
  <c r="R157" i="1" s="1"/>
  <c r="D157" i="1" s="1"/>
  <c r="Q185" i="1"/>
  <c r="R185" i="1" s="1"/>
  <c r="D185" i="1" s="1"/>
  <c r="Z211" i="1"/>
  <c r="AA211" i="1" s="1"/>
  <c r="O211" i="1" s="1"/>
  <c r="Q211" i="1" s="1"/>
  <c r="R211" i="1" s="1"/>
  <c r="D211" i="1" s="1"/>
  <c r="Q88" i="1"/>
  <c r="R88" i="1" s="1"/>
  <c r="D88" i="1" s="1"/>
  <c r="Z132" i="1"/>
  <c r="AA132" i="1" s="1"/>
  <c r="O132" i="1" s="1"/>
  <c r="Q132" i="1" s="1"/>
  <c r="R132" i="1" s="1"/>
  <c r="D132" i="1" s="1"/>
  <c r="Z199" i="1"/>
  <c r="AA199" i="1" s="1"/>
  <c r="O199" i="1" s="1"/>
  <c r="Q199" i="1" s="1"/>
  <c r="R199" i="1" s="1"/>
  <c r="D199" i="1" s="1"/>
  <c r="Z60" i="1"/>
  <c r="AA60" i="1" s="1"/>
  <c r="O60" i="1" s="1"/>
  <c r="Q60" i="1" s="1"/>
  <c r="R60" i="1" s="1"/>
  <c r="D60" i="1" s="1"/>
  <c r="Z212" i="1"/>
  <c r="AA212" i="1" s="1"/>
  <c r="O212" i="1" s="1"/>
  <c r="Q212" i="1" s="1"/>
  <c r="R212" i="1" s="1"/>
  <c r="D212" i="1" s="1"/>
  <c r="O142" i="1"/>
  <c r="Q142" i="1" s="1"/>
  <c r="R142" i="1" s="1"/>
  <c r="D142" i="1" s="1"/>
  <c r="O101" i="1"/>
  <c r="Q101" i="1" s="1"/>
  <c r="R101" i="1" s="1"/>
  <c r="D101" i="1" s="1"/>
  <c r="O69" i="1"/>
  <c r="Q69" i="1" s="1"/>
  <c r="R69" i="1" s="1"/>
  <c r="D69" i="1" s="1"/>
  <c r="O210" i="1"/>
  <c r="Q210" i="1" s="1"/>
  <c r="R210" i="1" s="1"/>
  <c r="D210" i="1" s="1"/>
  <c r="O213" i="1"/>
  <c r="Q213" i="1" s="1"/>
  <c r="R213" i="1" s="1"/>
  <c r="D213" i="1" s="1"/>
  <c r="O33" i="1"/>
  <c r="Q33" i="1" s="1"/>
  <c r="R33" i="1" s="1"/>
  <c r="D33" i="1" s="1"/>
  <c r="O180" i="1"/>
  <c r="Q180" i="1" s="1"/>
  <c r="R180" i="1" s="1"/>
  <c r="D180" i="1" s="1"/>
  <c r="O51" i="1"/>
  <c r="Q51" i="1" s="1"/>
  <c r="R51" i="1" s="1"/>
  <c r="D51" i="1" s="1"/>
  <c r="Z11" i="8"/>
  <c r="N11" i="8" s="1"/>
  <c r="P11" i="8" s="1"/>
  <c r="Q11" i="8" s="1"/>
  <c r="D11" i="8" s="1"/>
  <c r="Z15" i="8"/>
  <c r="N15" i="8" s="1"/>
  <c r="P15" i="8" s="1"/>
  <c r="Q15" i="8" s="1"/>
  <c r="D15" i="8" s="1"/>
  <c r="AJ6" i="8"/>
  <c r="AK6" i="8" s="1"/>
  <c r="W6" i="8" s="1"/>
  <c r="Y6" i="8" s="1"/>
  <c r="AA87" i="3"/>
  <c r="Z116" i="6"/>
  <c r="Z36" i="6"/>
  <c r="AK152" i="6"/>
  <c r="AL152" i="6" s="1"/>
  <c r="X152" i="6" s="1"/>
  <c r="Z152" i="6" s="1"/>
  <c r="AL182" i="6"/>
  <c r="X182" i="6" s="1"/>
  <c r="Z182" i="6" s="1"/>
  <c r="AA124" i="6"/>
  <c r="O124" i="6" s="1"/>
  <c r="Q124" i="6" s="1"/>
  <c r="R124" i="6" s="1"/>
  <c r="D124" i="6" s="1"/>
  <c r="AA104" i="6"/>
  <c r="O104" i="6" s="1"/>
  <c r="Q104" i="6" s="1"/>
  <c r="R104" i="6" s="1"/>
  <c r="D104" i="6" s="1"/>
  <c r="AA48" i="6"/>
  <c r="O48" i="6" s="1"/>
  <c r="Q48" i="6" s="1"/>
  <c r="R48" i="6" s="1"/>
  <c r="D48" i="6" s="1"/>
  <c r="AA54" i="6"/>
  <c r="O54" i="6" s="1"/>
  <c r="Q54" i="6" s="1"/>
  <c r="R54" i="6" s="1"/>
  <c r="D54" i="6" s="1"/>
  <c r="AA190" i="6"/>
  <c r="O190" i="6" s="1"/>
  <c r="Q190" i="6" s="1"/>
  <c r="R190" i="6" s="1"/>
  <c r="D190" i="6" s="1"/>
  <c r="AA169" i="6"/>
  <c r="O169" i="6" s="1"/>
  <c r="Q169" i="6" s="1"/>
  <c r="R169" i="6" s="1"/>
  <c r="D169" i="6" s="1"/>
  <c r="AA197" i="6"/>
  <c r="O197" i="6" s="1"/>
  <c r="Q197" i="6" s="1"/>
  <c r="R197" i="6" s="1"/>
  <c r="D197" i="6" s="1"/>
  <c r="AA23" i="6"/>
  <c r="O23" i="6" s="1"/>
  <c r="Q23" i="6" s="1"/>
  <c r="R23" i="6" s="1"/>
  <c r="D23" i="6" s="1"/>
  <c r="AA113" i="6"/>
  <c r="O113" i="6" s="1"/>
  <c r="Q113" i="6" s="1"/>
  <c r="R113" i="6" s="1"/>
  <c r="D113" i="6" s="1"/>
  <c r="AA73" i="6"/>
  <c r="O73" i="6" s="1"/>
  <c r="Q73" i="6" s="1"/>
  <c r="R73" i="6" s="1"/>
  <c r="D73" i="6" s="1"/>
  <c r="AA129" i="6"/>
  <c r="O129" i="6" s="1"/>
  <c r="Q129" i="6" s="1"/>
  <c r="R129" i="6" s="1"/>
  <c r="D129" i="6" s="1"/>
  <c r="AA105" i="6"/>
  <c r="O105" i="6" s="1"/>
  <c r="Q105" i="6" s="1"/>
  <c r="R105" i="6" s="1"/>
  <c r="D105" i="6" s="1"/>
  <c r="AA59" i="6"/>
  <c r="O59" i="6" s="1"/>
  <c r="Q59" i="6" s="1"/>
  <c r="R59" i="6" s="1"/>
  <c r="D59" i="6" s="1"/>
  <c r="AA90" i="6"/>
  <c r="O90" i="6" s="1"/>
  <c r="Q90" i="6" s="1"/>
  <c r="R90" i="6" s="1"/>
  <c r="D90" i="6" s="1"/>
  <c r="AA92" i="6"/>
  <c r="O92" i="6" s="1"/>
  <c r="Q92" i="6" s="1"/>
  <c r="R92" i="6" s="1"/>
  <c r="D92" i="6" s="1"/>
  <c r="AA118" i="6"/>
  <c r="O118" i="6" s="1"/>
  <c r="Q118" i="6" s="1"/>
  <c r="R118" i="6" s="1"/>
  <c r="D118" i="6" s="1"/>
  <c r="AA22" i="6"/>
  <c r="O22" i="6" s="1"/>
  <c r="Q22" i="6" s="1"/>
  <c r="R22" i="6" s="1"/>
  <c r="D22" i="6" s="1"/>
  <c r="AA172" i="6"/>
  <c r="O172" i="6" s="1"/>
  <c r="Q172" i="6" s="1"/>
  <c r="R172" i="6" s="1"/>
  <c r="D172" i="6" s="1"/>
  <c r="AA94" i="6"/>
  <c r="O94" i="6" s="1"/>
  <c r="Q94" i="6" s="1"/>
  <c r="R94" i="6" s="1"/>
  <c r="D94" i="6" s="1"/>
  <c r="AA166" i="6"/>
  <c r="O166" i="6" s="1"/>
  <c r="Q166" i="6" s="1"/>
  <c r="R166" i="6" s="1"/>
  <c r="D166" i="6" s="1"/>
  <c r="AA110" i="6"/>
  <c r="O110" i="6" s="1"/>
  <c r="Q110" i="6" s="1"/>
  <c r="R110" i="6" s="1"/>
  <c r="D110" i="6" s="1"/>
  <c r="AA158" i="6"/>
  <c r="O158" i="6" s="1"/>
  <c r="Q158" i="6" s="1"/>
  <c r="R158" i="6" s="1"/>
  <c r="D158" i="6" s="1"/>
  <c r="O93" i="1"/>
  <c r="Q93" i="1" s="1"/>
  <c r="R93" i="1" s="1"/>
  <c r="D93" i="1" s="1"/>
  <c r="O22" i="1"/>
  <c r="Q22" i="1" s="1"/>
  <c r="R22" i="1" s="1"/>
  <c r="D22" i="1" s="1"/>
  <c r="Z148" i="6"/>
  <c r="Z181" i="6"/>
  <c r="Z109" i="6"/>
  <c r="AK140" i="6"/>
  <c r="AL140" i="6" s="1"/>
  <c r="X140" i="6" s="1"/>
  <c r="Z140" i="6" s="1"/>
  <c r="Z167" i="6"/>
  <c r="Z165" i="6"/>
  <c r="AK141" i="6"/>
  <c r="AL141" i="6" s="1"/>
  <c r="X141" i="6" s="1"/>
  <c r="Z141" i="6" s="1"/>
  <c r="Z146" i="6"/>
  <c r="AK137" i="6"/>
  <c r="AL137" i="6" s="1"/>
  <c r="X137" i="6" s="1"/>
  <c r="Z137" i="6" s="1"/>
  <c r="AK132" i="6"/>
  <c r="AL132" i="6" s="1"/>
  <c r="X132" i="6" s="1"/>
  <c r="Z132" i="6" s="1"/>
  <c r="AL131" i="6"/>
  <c r="X131" i="6" s="1"/>
  <c r="Z131" i="6" s="1"/>
  <c r="Z122" i="6"/>
  <c r="AL106" i="6"/>
  <c r="X106" i="6" s="1"/>
  <c r="Z106" i="6" s="1"/>
  <c r="Z114" i="6"/>
  <c r="Z111" i="6"/>
  <c r="AK154" i="6"/>
  <c r="AL154" i="6" s="1"/>
  <c r="X154" i="6" s="1"/>
  <c r="Z154" i="6" s="1"/>
  <c r="AK8" i="6"/>
  <c r="AL8" i="6" s="1"/>
  <c r="X8" i="6" s="1"/>
  <c r="Z8" i="6" s="1"/>
  <c r="AK65" i="6"/>
  <c r="AL65" i="6" s="1"/>
  <c r="X65" i="6" s="1"/>
  <c r="Z65" i="6" s="1"/>
  <c r="Z103" i="6"/>
  <c r="AK80" i="6"/>
  <c r="AL80" i="6" s="1"/>
  <c r="X80" i="6" s="1"/>
  <c r="Z80" i="6" s="1"/>
  <c r="Z174" i="6"/>
  <c r="AK32" i="6"/>
  <c r="AL32" i="6" s="1"/>
  <c r="X32" i="6" s="1"/>
  <c r="Z32" i="6" s="1"/>
  <c r="Z76" i="6"/>
  <c r="AL98" i="6"/>
  <c r="X98" i="6" s="1"/>
  <c r="Z98" i="6" s="1"/>
  <c r="AK71" i="6"/>
  <c r="AL71" i="6" s="1"/>
  <c r="X71" i="6" s="1"/>
  <c r="Z71" i="6" s="1"/>
  <c r="O87" i="3" l="1"/>
  <c r="Q87" i="3" s="1"/>
  <c r="R87" i="3" s="1"/>
  <c r="D87" i="3" s="1"/>
  <c r="Z6" i="8"/>
  <c r="N6" i="8" s="1"/>
  <c r="P6" i="8" s="1"/>
  <c r="Q6" i="8" s="1"/>
  <c r="D6" i="8" s="1"/>
  <c r="AA182" i="6"/>
  <c r="O182" i="6" s="1"/>
  <c r="Q182" i="6" s="1"/>
  <c r="R182" i="6" s="1"/>
  <c r="D182" i="6" s="1"/>
  <c r="AA116" i="6"/>
  <c r="O116" i="6" s="1"/>
  <c r="Q116" i="6" s="1"/>
  <c r="R116" i="6" s="1"/>
  <c r="D116" i="6" s="1"/>
  <c r="AA36" i="6"/>
  <c r="O36" i="6" s="1"/>
  <c r="Q36" i="6" s="1"/>
  <c r="R36" i="6" s="1"/>
  <c r="D36" i="6" s="1"/>
  <c r="AA122" i="6"/>
  <c r="O122" i="6" s="1"/>
  <c r="Q122" i="6" s="1"/>
  <c r="R122" i="6" s="1"/>
  <c r="D122" i="6" s="1"/>
  <c r="AA131" i="6"/>
  <c r="O131" i="6" s="1"/>
  <c r="Q131" i="6" s="1"/>
  <c r="R131" i="6" s="1"/>
  <c r="D131" i="6" s="1"/>
  <c r="AA137" i="6"/>
  <c r="O137" i="6" s="1"/>
  <c r="Q137" i="6" s="1"/>
  <c r="R137" i="6" s="1"/>
  <c r="D137" i="6" s="1"/>
  <c r="AA71" i="6"/>
  <c r="O71" i="6" s="1"/>
  <c r="Q71" i="6" s="1"/>
  <c r="R71" i="6" s="1"/>
  <c r="D71" i="6" s="1"/>
  <c r="AA98" i="6"/>
  <c r="O98" i="6" s="1"/>
  <c r="Q98" i="6" s="1"/>
  <c r="R98" i="6" s="1"/>
  <c r="D98" i="6" s="1"/>
  <c r="AA141" i="6"/>
  <c r="O141" i="6" s="1"/>
  <c r="Q141" i="6" s="1"/>
  <c r="R141" i="6" s="1"/>
  <c r="D141" i="6" s="1"/>
  <c r="AA32" i="6"/>
  <c r="O32" i="6" s="1"/>
  <c r="Q32" i="6" s="1"/>
  <c r="R32" i="6" s="1"/>
  <c r="D32" i="6" s="1"/>
  <c r="AA146" i="6"/>
  <c r="O146" i="6" s="1"/>
  <c r="Q146" i="6" s="1"/>
  <c r="R146" i="6" s="1"/>
  <c r="D146" i="6" s="1"/>
  <c r="AA165" i="6"/>
  <c r="O165" i="6" s="1"/>
  <c r="Q165" i="6" s="1"/>
  <c r="R165" i="6" s="1"/>
  <c r="D165" i="6" s="1"/>
  <c r="AA8" i="6"/>
  <c r="O8" i="6" s="1"/>
  <c r="Q8" i="6" s="1"/>
  <c r="R8" i="6" s="1"/>
  <c r="D8" i="6" s="1"/>
  <c r="AA103" i="6"/>
  <c r="O103" i="6" s="1"/>
  <c r="Q103" i="6" s="1"/>
  <c r="R103" i="6" s="1"/>
  <c r="D103" i="6" s="1"/>
  <c r="AA65" i="6"/>
  <c r="O65" i="6" s="1"/>
  <c r="Q65" i="6" s="1"/>
  <c r="R65" i="6" s="1"/>
  <c r="D65" i="6" s="1"/>
  <c r="AA167" i="6"/>
  <c r="O167" i="6" s="1"/>
  <c r="Q167" i="6" s="1"/>
  <c r="R167" i="6" s="1"/>
  <c r="D167" i="6" s="1"/>
  <c r="AA111" i="6"/>
  <c r="O111" i="6" s="1"/>
  <c r="Q111" i="6" s="1"/>
  <c r="R111" i="6" s="1"/>
  <c r="D111" i="6" s="1"/>
  <c r="AA114" i="6"/>
  <c r="O114" i="6" s="1"/>
  <c r="Q114" i="6" s="1"/>
  <c r="R114" i="6" s="1"/>
  <c r="D114" i="6" s="1"/>
  <c r="AA181" i="6"/>
  <c r="O181" i="6" s="1"/>
  <c r="Q181" i="6" s="1"/>
  <c r="R181" i="6" s="1"/>
  <c r="D181" i="6" s="1"/>
  <c r="AA140" i="6"/>
  <c r="O140" i="6" s="1"/>
  <c r="Q140" i="6" s="1"/>
  <c r="R140" i="6" s="1"/>
  <c r="D140" i="6" s="1"/>
  <c r="AA132" i="6"/>
  <c r="O132" i="6" s="1"/>
  <c r="Q132" i="6" s="1"/>
  <c r="R132" i="6" s="1"/>
  <c r="D132" i="6" s="1"/>
  <c r="AA76" i="6"/>
  <c r="O76" i="6" s="1"/>
  <c r="Q76" i="6" s="1"/>
  <c r="R76" i="6" s="1"/>
  <c r="D76" i="6" s="1"/>
  <c r="AA174" i="6"/>
  <c r="O174" i="6" s="1"/>
  <c r="Q174" i="6" s="1"/>
  <c r="R174" i="6" s="1"/>
  <c r="D174" i="6" s="1"/>
  <c r="AA80" i="6"/>
  <c r="O80" i="6" s="1"/>
  <c r="Q80" i="6" s="1"/>
  <c r="R80" i="6" s="1"/>
  <c r="D80" i="6" s="1"/>
  <c r="AA152" i="6"/>
  <c r="O152" i="6" s="1"/>
  <c r="Q152" i="6" s="1"/>
  <c r="R152" i="6" s="1"/>
  <c r="D152" i="6" s="1"/>
  <c r="AA154" i="6"/>
  <c r="O154" i="6" s="1"/>
  <c r="Q154" i="6" s="1"/>
  <c r="R154" i="6" s="1"/>
  <c r="D154" i="6" s="1"/>
  <c r="AA109" i="6"/>
  <c r="O109" i="6" s="1"/>
  <c r="Q109" i="6" s="1"/>
  <c r="R109" i="6" s="1"/>
  <c r="D109" i="6" s="1"/>
  <c r="AA106" i="6"/>
  <c r="O106" i="6" s="1"/>
  <c r="Q106" i="6" s="1"/>
  <c r="R106" i="6" s="1"/>
  <c r="D106" i="6" s="1"/>
  <c r="AA148" i="6"/>
  <c r="O148" i="6" s="1"/>
  <c r="Q148" i="6" s="1"/>
  <c r="R148" i="6" s="1"/>
  <c r="D148" i="6" s="1"/>
  <c r="T17" i="4"/>
  <c r="Z17" i="4" s="1"/>
  <c r="Y17" i="4"/>
  <c r="AI18" i="4"/>
  <c r="AK18" i="4" s="1"/>
  <c r="AL18" i="4" s="1"/>
  <c r="X18" i="4" s="1"/>
  <c r="Y18" i="4"/>
  <c r="W18" i="4"/>
  <c r="V18" i="4"/>
  <c r="U18" i="4"/>
  <c r="AI12" i="4"/>
  <c r="AH12" i="4"/>
  <c r="AG12" i="4"/>
  <c r="AF12" i="4"/>
  <c r="V12" i="4"/>
  <c r="U12" i="4"/>
  <c r="T12" i="4"/>
  <c r="AI10" i="4"/>
  <c r="AH10" i="4"/>
  <c r="AF10" i="4"/>
  <c r="W10" i="4"/>
  <c r="W53" i="3"/>
  <c r="Z53" i="3" s="1"/>
  <c r="Y53" i="3"/>
  <c r="T88" i="3"/>
  <c r="Z88" i="3" s="1"/>
  <c r="Y88" i="3"/>
  <c r="V106" i="3"/>
  <c r="W106" i="3"/>
  <c r="W116" i="3"/>
  <c r="Z116" i="3" s="1"/>
  <c r="Y116" i="3"/>
  <c r="U123" i="3"/>
  <c r="V123" i="3"/>
  <c r="T140" i="3"/>
  <c r="U140" i="3"/>
  <c r="T152" i="3"/>
  <c r="U152" i="3"/>
  <c r="V152" i="3"/>
  <c r="W154" i="3"/>
  <c r="V158" i="3"/>
  <c r="W158" i="3"/>
  <c r="W188" i="3"/>
  <c r="Z188" i="3" s="1"/>
  <c r="Y188" i="3"/>
  <c r="T205" i="3"/>
  <c r="U205" i="3"/>
  <c r="V205" i="3"/>
  <c r="W205" i="3"/>
  <c r="W210" i="3"/>
  <c r="Z210" i="3" s="1"/>
  <c r="Y210" i="3"/>
  <c r="W219" i="3"/>
  <c r="Z219" i="3" s="1"/>
  <c r="W226" i="3"/>
  <c r="Z226" i="3" s="1"/>
  <c r="Y226" i="3"/>
  <c r="U273" i="3"/>
  <c r="W273" i="3"/>
  <c r="W295" i="3"/>
  <c r="Z295" i="3" s="1"/>
  <c r="Y295" i="3"/>
  <c r="AG330" i="3"/>
  <c r="AK330" i="3" s="1"/>
  <c r="AL330" i="3" s="1"/>
  <c r="X330" i="3" s="1"/>
  <c r="Z330" i="3" s="1"/>
  <c r="AF324" i="3"/>
  <c r="AK324" i="3" s="1"/>
  <c r="AL324" i="3" s="1"/>
  <c r="X324" i="3" s="1"/>
  <c r="V303" i="3"/>
  <c r="W303" i="3"/>
  <c r="AF303" i="3"/>
  <c r="AG303" i="3"/>
  <c r="AH303" i="3"/>
  <c r="U301" i="3"/>
  <c r="V301" i="3"/>
  <c r="AG301" i="3"/>
  <c r="AH301" i="3"/>
  <c r="AE298" i="3"/>
  <c r="AK298" i="3" s="1"/>
  <c r="AL298" i="3" s="1"/>
  <c r="X298" i="3" s="1"/>
  <c r="Z298" i="3" s="1"/>
  <c r="T296" i="3"/>
  <c r="U296" i="3"/>
  <c r="V296" i="3"/>
  <c r="W296" i="3"/>
  <c r="AF296" i="3"/>
  <c r="AG296" i="3"/>
  <c r="AH296" i="3"/>
  <c r="AI297" i="3"/>
  <c r="AK297" i="3" s="1"/>
  <c r="AL297" i="3" s="1"/>
  <c r="X297" i="3" s="1"/>
  <c r="Z297" i="3" s="1"/>
  <c r="V281" i="3"/>
  <c r="W281" i="3"/>
  <c r="Y281" i="3"/>
  <c r="AE281" i="3"/>
  <c r="AK281" i="3" s="1"/>
  <c r="AL281" i="3" s="1"/>
  <c r="X281" i="3" s="1"/>
  <c r="AF289" i="3"/>
  <c r="AK289" i="3" s="1"/>
  <c r="AL289" i="3" s="1"/>
  <c r="X289" i="3" s="1"/>
  <c r="Z289" i="3" s="1"/>
  <c r="U278" i="3"/>
  <c r="V278" i="3"/>
  <c r="W278" i="3"/>
  <c r="AF278" i="3"/>
  <c r="AK278" i="3" s="1"/>
  <c r="AL278" i="3" s="1"/>
  <c r="X278" i="3" s="1"/>
  <c r="W269" i="3"/>
  <c r="AE269" i="3"/>
  <c r="AK269" i="3" s="1"/>
  <c r="AL269" i="3" s="1"/>
  <c r="X269" i="3" s="1"/>
  <c r="U15" i="3"/>
  <c r="V15" i="3"/>
  <c r="W15" i="3"/>
  <c r="Y15" i="3"/>
  <c r="AH15" i="3"/>
  <c r="AK15" i="3" s="1"/>
  <c r="AL15" i="3" s="1"/>
  <c r="X15" i="3" s="1"/>
  <c r="AF237" i="3"/>
  <c r="AG237" i="3"/>
  <c r="AH237" i="3"/>
  <c r="AI237" i="3"/>
  <c r="V228" i="3"/>
  <c r="W228" i="3"/>
  <c r="AF228" i="3"/>
  <c r="AG228" i="3"/>
  <c r="AI228" i="3"/>
  <c r="V201" i="3"/>
  <c r="W201" i="3"/>
  <c r="Y201" i="3"/>
  <c r="AI201" i="3"/>
  <c r="AK201" i="3" s="1"/>
  <c r="AL201" i="3" s="1"/>
  <c r="X201" i="3" s="1"/>
  <c r="T200" i="3"/>
  <c r="V200" i="3"/>
  <c r="W200" i="3"/>
  <c r="AD200" i="3"/>
  <c r="AF200" i="3"/>
  <c r="AH200" i="3"/>
  <c r="AI200" i="3"/>
  <c r="AG181" i="3"/>
  <c r="AK181" i="3" s="1"/>
  <c r="AL181" i="3" s="1"/>
  <c r="X181" i="3" s="1"/>
  <c r="Z181" i="3" s="1"/>
  <c r="U183" i="3"/>
  <c r="V183" i="3"/>
  <c r="W183" i="3"/>
  <c r="AH183" i="3"/>
  <c r="AK183" i="3" s="1"/>
  <c r="AL183" i="3" s="1"/>
  <c r="X183" i="3" s="1"/>
  <c r="V167" i="3"/>
  <c r="W167" i="3"/>
  <c r="AG167" i="3"/>
  <c r="AH167" i="3"/>
  <c r="AF101" i="6"/>
  <c r="AE101" i="6"/>
  <c r="V101" i="6"/>
  <c r="AE162" i="3"/>
  <c r="AK162" i="3" s="1"/>
  <c r="AL162" i="3" s="1"/>
  <c r="X162" i="3" s="1"/>
  <c r="V149" i="3"/>
  <c r="W149" i="3"/>
  <c r="AE149" i="3"/>
  <c r="AK149" i="3" s="1"/>
  <c r="AL149" i="3" s="1"/>
  <c r="X149" i="3" s="1"/>
  <c r="AK145" i="3"/>
  <c r="AL145" i="3" s="1"/>
  <c r="V145" i="3"/>
  <c r="X145" i="3"/>
  <c r="U131" i="3"/>
  <c r="V131" i="3"/>
  <c r="W131" i="3"/>
  <c r="Y131" i="3"/>
  <c r="AH131" i="3"/>
  <c r="AK131" i="3" s="1"/>
  <c r="AL131" i="3" s="1"/>
  <c r="X131" i="3" s="1"/>
  <c r="U129" i="3"/>
  <c r="V129" i="3"/>
  <c r="W129" i="3"/>
  <c r="Y129" i="3"/>
  <c r="AK129" i="3"/>
  <c r="AL129" i="3" s="1"/>
  <c r="X129" i="3" s="1"/>
  <c r="V117" i="3"/>
  <c r="AC117" i="3"/>
  <c r="AK117" i="3" s="1"/>
  <c r="AL117" i="3" s="1"/>
  <c r="X117" i="3" s="1"/>
  <c r="AF108" i="3"/>
  <c r="AH108" i="3"/>
  <c r="AI108" i="3"/>
  <c r="U95" i="3"/>
  <c r="V95" i="3"/>
  <c r="W95" i="3"/>
  <c r="Y95" i="3"/>
  <c r="AG95" i="3"/>
  <c r="AH95" i="3"/>
  <c r="AD77" i="3"/>
  <c r="AF77" i="3"/>
  <c r="U71" i="3"/>
  <c r="W71" i="3"/>
  <c r="AF71" i="3"/>
  <c r="AG71" i="3"/>
  <c r="AH71" i="3"/>
  <c r="U64" i="3"/>
  <c r="Y64" i="3"/>
  <c r="AH64" i="3"/>
  <c r="AK64" i="3" s="1"/>
  <c r="AL64" i="3" s="1"/>
  <c r="X64" i="3" s="1"/>
  <c r="AD43" i="3"/>
  <c r="AF43" i="3"/>
  <c r="AF30" i="3"/>
  <c r="AK30" i="3" s="1"/>
  <c r="AL30" i="3" s="1"/>
  <c r="X30" i="3" s="1"/>
  <c r="AD25" i="3"/>
  <c r="AF25" i="3"/>
  <c r="U293" i="3"/>
  <c r="V293" i="3"/>
  <c r="W293" i="3"/>
  <c r="Y293" i="3"/>
  <c r="AI293" i="3"/>
  <c r="AK293" i="3" s="1"/>
  <c r="AL293" i="3" s="1"/>
  <c r="X293" i="3" s="1"/>
  <c r="U253" i="3"/>
  <c r="V253" i="3"/>
  <c r="W253" i="3"/>
  <c r="X253" i="3"/>
  <c r="Y253" i="3"/>
  <c r="U8" i="3"/>
  <c r="V8" i="3"/>
  <c r="W8" i="3"/>
  <c r="AC8" i="3"/>
  <c r="AE8" i="3"/>
  <c r="AF8" i="3"/>
  <c r="AG8" i="3"/>
  <c r="AH8" i="3"/>
  <c r="W9" i="3"/>
  <c r="Y9" i="3"/>
  <c r="AF9" i="3"/>
  <c r="AG9" i="3"/>
  <c r="AH9" i="3"/>
  <c r="V132" i="3"/>
  <c r="W132" i="3"/>
  <c r="AH132" i="3"/>
  <c r="AI132" i="3"/>
  <c r="U85" i="3"/>
  <c r="V85" i="3"/>
  <c r="W85" i="3"/>
  <c r="Y85" i="3"/>
  <c r="AD85" i="3"/>
  <c r="AF85" i="3"/>
  <c r="AG85" i="3"/>
  <c r="AH85" i="3"/>
  <c r="T62" i="3"/>
  <c r="U62" i="3"/>
  <c r="V62" i="3"/>
  <c r="W62" i="3"/>
  <c r="AE62" i="3"/>
  <c r="AF62" i="3"/>
  <c r="AG62" i="3"/>
  <c r="AH62" i="3"/>
  <c r="AI62" i="3"/>
  <c r="T67" i="3"/>
  <c r="U67" i="3"/>
  <c r="V67" i="3"/>
  <c r="W67" i="3"/>
  <c r="AF67" i="3"/>
  <c r="AG67" i="3"/>
  <c r="AH67" i="3"/>
  <c r="AK36" i="4"/>
  <c r="AL36" i="4" s="1"/>
  <c r="AH251" i="1"/>
  <c r="U248" i="1"/>
  <c r="W248" i="1"/>
  <c r="AG248" i="1"/>
  <c r="AH248" i="1"/>
  <c r="AG236" i="1"/>
  <c r="AG240" i="1"/>
  <c r="X232" i="1"/>
  <c r="U229" i="1"/>
  <c r="V229" i="1"/>
  <c r="W229" i="1"/>
  <c r="AG229" i="1"/>
  <c r="AH229" i="1"/>
  <c r="AF30" i="2"/>
  <c r="AK30" i="2" s="1"/>
  <c r="AL30" i="2" s="1"/>
  <c r="X30" i="2" s="1"/>
  <c r="Z30" i="2" s="1"/>
  <c r="AA30" i="2" s="1"/>
  <c r="AF221" i="1"/>
  <c r="U23" i="1"/>
  <c r="V23" i="1"/>
  <c r="W23" i="1"/>
  <c r="AE23" i="1"/>
  <c r="AG23" i="1"/>
  <c r="AH23" i="1"/>
  <c r="AI23" i="1"/>
  <c r="AE207" i="1"/>
  <c r="AF207" i="1"/>
  <c r="T26" i="2"/>
  <c r="U26" i="2"/>
  <c r="X172" i="1"/>
  <c r="U159" i="1"/>
  <c r="V159" i="1"/>
  <c r="AH159" i="1"/>
  <c r="U164" i="1"/>
  <c r="V164" i="1"/>
  <c r="W164" i="1"/>
  <c r="AH164" i="1"/>
  <c r="AE123" i="1"/>
  <c r="AF123" i="1"/>
  <c r="AG123" i="1"/>
  <c r="AH123" i="1"/>
  <c r="U117" i="1"/>
  <c r="V117" i="1"/>
  <c r="W117" i="1"/>
  <c r="AF117" i="1"/>
  <c r="AG117" i="1"/>
  <c r="AH117" i="1"/>
  <c r="V110" i="1"/>
  <c r="W110" i="1"/>
  <c r="AG110" i="1"/>
  <c r="AH110" i="1"/>
  <c r="U111" i="1"/>
  <c r="V111" i="1"/>
  <c r="U65" i="1"/>
  <c r="V65" i="1"/>
  <c r="W65" i="1"/>
  <c r="AG65" i="1"/>
  <c r="U72" i="1"/>
  <c r="V72" i="1"/>
  <c r="W72" i="1"/>
  <c r="AG72" i="1"/>
  <c r="AH72" i="1"/>
  <c r="U82" i="1"/>
  <c r="V82" i="1"/>
  <c r="W82" i="1"/>
  <c r="Y82" i="1"/>
  <c r="AE82" i="1"/>
  <c r="AF82" i="1"/>
  <c r="AG82" i="1"/>
  <c r="AH82" i="1"/>
  <c r="T18" i="2"/>
  <c r="Z18" i="2" s="1"/>
  <c r="AA18" i="2" s="1"/>
  <c r="AE52" i="1"/>
  <c r="AF52" i="1"/>
  <c r="AH52" i="1"/>
  <c r="AI52" i="1"/>
  <c r="O47" i="1"/>
  <c r="Q47" i="1" s="1"/>
  <c r="R47" i="1" s="1"/>
  <c r="D47" i="1" s="1"/>
  <c r="U45" i="1"/>
  <c r="V45" i="1"/>
  <c r="W45" i="1"/>
  <c r="AG45" i="1"/>
  <c r="O18" i="2" l="1"/>
  <c r="Q18" i="2" s="1"/>
  <c r="R18" i="2" s="1"/>
  <c r="D18" i="2" s="1"/>
  <c r="O30" i="2"/>
  <c r="Q30" i="2" s="1"/>
  <c r="R30" i="2" s="1"/>
  <c r="D30" i="2" s="1"/>
  <c r="Z172" i="1"/>
  <c r="AA172" i="1" s="1"/>
  <c r="O172" i="1" s="1"/>
  <c r="Q172" i="1" s="1"/>
  <c r="R172" i="1" s="1"/>
  <c r="D172" i="1" s="1"/>
  <c r="Z232" i="1"/>
  <c r="AA232" i="1" s="1"/>
  <c r="O232" i="1" s="1"/>
  <c r="Q232" i="1" s="1"/>
  <c r="R232" i="1" s="1"/>
  <c r="D232" i="1" s="1"/>
  <c r="Z111" i="1"/>
  <c r="AA111" i="1" s="1"/>
  <c r="O111" i="1" s="1"/>
  <c r="Q111" i="1" s="1"/>
  <c r="R111" i="1" s="1"/>
  <c r="D111" i="1" s="1"/>
  <c r="Z140" i="3"/>
  <c r="AA140" i="3" s="1"/>
  <c r="Z269" i="3"/>
  <c r="Z145" i="3"/>
  <c r="AA145" i="3" s="1"/>
  <c r="Z281" i="3"/>
  <c r="AA281" i="3" s="1"/>
  <c r="Z30" i="3"/>
  <c r="AA30" i="3" s="1"/>
  <c r="Z117" i="3"/>
  <c r="AA117" i="3" s="1"/>
  <c r="Z158" i="3"/>
  <c r="AA158" i="3" s="1"/>
  <c r="Z293" i="3"/>
  <c r="AA293" i="3" s="1"/>
  <c r="Z324" i="3"/>
  <c r="AA324" i="3" s="1"/>
  <c r="Z154" i="3"/>
  <c r="AA154" i="3" s="1"/>
  <c r="Z64" i="3"/>
  <c r="AA64" i="3" s="1"/>
  <c r="Z273" i="3"/>
  <c r="AA273" i="3" s="1"/>
  <c r="Z15" i="3"/>
  <c r="AA15" i="3" s="1"/>
  <c r="Z201" i="3"/>
  <c r="AA201" i="3" s="1"/>
  <c r="Z131" i="3"/>
  <c r="AA131" i="3" s="1"/>
  <c r="Z152" i="3"/>
  <c r="AA152" i="3" s="1"/>
  <c r="Z123" i="3"/>
  <c r="AA123" i="3" s="1"/>
  <c r="Z106" i="3"/>
  <c r="AA106" i="3" s="1"/>
  <c r="Z149" i="3"/>
  <c r="AA149" i="3" s="1"/>
  <c r="Z162" i="3"/>
  <c r="AA162" i="3" s="1"/>
  <c r="Z205" i="3"/>
  <c r="AA205" i="3" s="1"/>
  <c r="Z253" i="3"/>
  <c r="AA253" i="3" s="1"/>
  <c r="Z183" i="3"/>
  <c r="AA183" i="3" s="1"/>
  <c r="Z278" i="3"/>
  <c r="AA278" i="3" s="1"/>
  <c r="Z129" i="3"/>
  <c r="AA129" i="3" s="1"/>
  <c r="AK72" i="1"/>
  <c r="AL72" i="1" s="1"/>
  <c r="X72" i="1" s="1"/>
  <c r="Z72" i="1" s="1"/>
  <c r="AA72" i="1" s="1"/>
  <c r="AK52" i="1"/>
  <c r="AL52" i="1" s="1"/>
  <c r="X52" i="1" s="1"/>
  <c r="AK207" i="1"/>
  <c r="AL207" i="1" s="1"/>
  <c r="X207" i="1" s="1"/>
  <c r="AK164" i="1"/>
  <c r="AL164" i="1" s="1"/>
  <c r="X164" i="1" s="1"/>
  <c r="AK110" i="1"/>
  <c r="AL110" i="1" s="1"/>
  <c r="X110" i="1" s="1"/>
  <c r="AK248" i="1"/>
  <c r="AL248" i="1" s="1"/>
  <c r="X248" i="1" s="1"/>
  <c r="Z248" i="1" s="1"/>
  <c r="AA248" i="1" s="1"/>
  <c r="AK229" i="1"/>
  <c r="AL229" i="1" s="1"/>
  <c r="X229" i="1" s="1"/>
  <c r="Z229" i="1" s="1"/>
  <c r="AA229" i="1" s="1"/>
  <c r="AK65" i="1"/>
  <c r="AL65" i="1" s="1"/>
  <c r="X65" i="1" s="1"/>
  <c r="AK236" i="1"/>
  <c r="AL236" i="1" s="1"/>
  <c r="X236" i="1" s="1"/>
  <c r="AK23" i="1"/>
  <c r="AL23" i="1" s="1"/>
  <c r="X23" i="1" s="1"/>
  <c r="AK45" i="1"/>
  <c r="AL45" i="1" s="1"/>
  <c r="X45" i="1" s="1"/>
  <c r="Z45" i="1" s="1"/>
  <c r="AA45" i="1" s="1"/>
  <c r="AK240" i="1"/>
  <c r="AL240" i="1" s="1"/>
  <c r="X240" i="1" s="1"/>
  <c r="AK123" i="1"/>
  <c r="AL123" i="1" s="1"/>
  <c r="X123" i="1" s="1"/>
  <c r="AK82" i="1"/>
  <c r="AL82" i="1" s="1"/>
  <c r="X82" i="1" s="1"/>
  <c r="AK159" i="1"/>
  <c r="AL159" i="1" s="1"/>
  <c r="X159" i="1" s="1"/>
  <c r="Z159" i="1" s="1"/>
  <c r="AA159" i="1" s="1"/>
  <c r="AK117" i="1"/>
  <c r="AL117" i="1" s="1"/>
  <c r="X117" i="1" s="1"/>
  <c r="Z117" i="1" s="1"/>
  <c r="AA117" i="1" s="1"/>
  <c r="AK221" i="1"/>
  <c r="AL221" i="1" s="1"/>
  <c r="X221" i="1" s="1"/>
  <c r="AK251" i="1"/>
  <c r="AL251" i="1" s="1"/>
  <c r="X251" i="1" s="1"/>
  <c r="AK101" i="6"/>
  <c r="AL101" i="6" s="1"/>
  <c r="X101" i="6" s="1"/>
  <c r="Z101" i="6" s="1"/>
  <c r="AA17" i="4"/>
  <c r="AK12" i="4"/>
  <c r="AL12" i="4" s="1"/>
  <c r="X12" i="4" s="1"/>
  <c r="Z12" i="4" s="1"/>
  <c r="AA12" i="4" s="1"/>
  <c r="AA210" i="3"/>
  <c r="AA295" i="3"/>
  <c r="AA226" i="3"/>
  <c r="AA88" i="3"/>
  <c r="AA188" i="3"/>
  <c r="AA116" i="3"/>
  <c r="AA269" i="3"/>
  <c r="AA219" i="3"/>
  <c r="AA53" i="3"/>
  <c r="AA289" i="3"/>
  <c r="AA297" i="3"/>
  <c r="AA181" i="3"/>
  <c r="AA298" i="3"/>
  <c r="AA330" i="3"/>
  <c r="Z18" i="4"/>
  <c r="AA18" i="4" s="1"/>
  <c r="AK10" i="4"/>
  <c r="AL10" i="4" s="1"/>
  <c r="X10" i="4" s="1"/>
  <c r="Z10" i="4" s="1"/>
  <c r="AA10" i="4" s="1"/>
  <c r="Z26" i="2"/>
  <c r="AA26" i="2" s="1"/>
  <c r="AK301" i="3"/>
  <c r="AL301" i="3" s="1"/>
  <c r="X301" i="3" s="1"/>
  <c r="Z301" i="3" s="1"/>
  <c r="AK303" i="3"/>
  <c r="AL303" i="3" s="1"/>
  <c r="X303" i="3" s="1"/>
  <c r="AK296" i="3"/>
  <c r="AL296" i="3" s="1"/>
  <c r="X296" i="3" s="1"/>
  <c r="Z296" i="3" s="1"/>
  <c r="AK228" i="3"/>
  <c r="AL228" i="3" s="1"/>
  <c r="X228" i="3" s="1"/>
  <c r="Z228" i="3" s="1"/>
  <c r="AK237" i="3"/>
  <c r="AL237" i="3" s="1"/>
  <c r="X237" i="3" s="1"/>
  <c r="Z237" i="3" s="1"/>
  <c r="AK200" i="3"/>
  <c r="AL200" i="3" s="1"/>
  <c r="X200" i="3" s="1"/>
  <c r="Z200" i="3" s="1"/>
  <c r="AK167" i="3"/>
  <c r="AL167" i="3" s="1"/>
  <c r="X167" i="3" s="1"/>
  <c r="Z167" i="3" s="1"/>
  <c r="AK108" i="3"/>
  <c r="AL108" i="3" s="1"/>
  <c r="X108" i="3" s="1"/>
  <c r="Z108" i="3" s="1"/>
  <c r="AK77" i="3"/>
  <c r="AL77" i="3" s="1"/>
  <c r="X77" i="3" s="1"/>
  <c r="Z77" i="3" s="1"/>
  <c r="AK43" i="3"/>
  <c r="AL43" i="3" s="1"/>
  <c r="X43" i="3" s="1"/>
  <c r="Z43" i="3" s="1"/>
  <c r="AK95" i="3"/>
  <c r="AL95" i="3" s="1"/>
  <c r="X95" i="3" s="1"/>
  <c r="Z95" i="3" s="1"/>
  <c r="AK71" i="3"/>
  <c r="AL71" i="3" s="1"/>
  <c r="X71" i="3" s="1"/>
  <c r="Z71" i="3" s="1"/>
  <c r="AK25" i="3"/>
  <c r="AL25" i="3" s="1"/>
  <c r="X25" i="3" s="1"/>
  <c r="Z25" i="3" s="1"/>
  <c r="AA25" i="3" s="1"/>
  <c r="AK85" i="3"/>
  <c r="AL85" i="3" s="1"/>
  <c r="X85" i="3" s="1"/>
  <c r="Z85" i="3" s="1"/>
  <c r="AK62" i="3"/>
  <c r="AL62" i="3" s="1"/>
  <c r="X62" i="3" s="1"/>
  <c r="Z62" i="3" s="1"/>
  <c r="AK9" i="3"/>
  <c r="AL9" i="3" s="1"/>
  <c r="X9" i="3" s="1"/>
  <c r="Z9" i="3" s="1"/>
  <c r="AK8" i="3"/>
  <c r="AL8" i="3" s="1"/>
  <c r="X8" i="3" s="1"/>
  <c r="Z8" i="3" s="1"/>
  <c r="AK132" i="3"/>
  <c r="AL132" i="3" s="1"/>
  <c r="X132" i="3" s="1"/>
  <c r="AK67" i="3"/>
  <c r="AL67" i="3" s="1"/>
  <c r="X67" i="3" s="1"/>
  <c r="Z67" i="3" s="1"/>
  <c r="T11" i="3"/>
  <c r="T14" i="3"/>
  <c r="T7" i="3"/>
  <c r="T240" i="3"/>
  <c r="T315" i="3"/>
  <c r="T311" i="3"/>
  <c r="T143" i="3"/>
  <c r="T185" i="3"/>
  <c r="T283" i="3"/>
  <c r="T251" i="3"/>
  <c r="T97" i="3"/>
  <c r="T16" i="3"/>
  <c r="T208" i="3"/>
  <c r="T222" i="3"/>
  <c r="T272" i="3"/>
  <c r="T62" i="6"/>
  <c r="T28" i="6"/>
  <c r="T17" i="6"/>
  <c r="T9" i="6"/>
  <c r="T7" i="6"/>
  <c r="T61" i="6"/>
  <c r="Z61" i="6" s="1"/>
  <c r="T33" i="6"/>
  <c r="T31" i="4"/>
  <c r="T11" i="2"/>
  <c r="T20" i="2"/>
  <c r="T24" i="2"/>
  <c r="T202" i="3"/>
  <c r="T190" i="3"/>
  <c r="T192" i="3"/>
  <c r="T235" i="3"/>
  <c r="T212" i="3"/>
  <c r="T229" i="3"/>
  <c r="T233" i="3"/>
  <c r="T306" i="3"/>
  <c r="T197" i="3"/>
  <c r="T241" i="3"/>
  <c r="T136" i="3"/>
  <c r="T93" i="3"/>
  <c r="T121" i="3"/>
  <c r="T138" i="3"/>
  <c r="U18" i="1"/>
  <c r="U21" i="1"/>
  <c r="U24" i="1"/>
  <c r="U29" i="1"/>
  <c r="U30" i="1"/>
  <c r="U34" i="1"/>
  <c r="U6" i="1"/>
  <c r="U49" i="1"/>
  <c r="U8" i="1"/>
  <c r="U66" i="1"/>
  <c r="U70" i="1"/>
  <c r="U73" i="1"/>
  <c r="U74" i="1"/>
  <c r="U98" i="1"/>
  <c r="U11" i="1"/>
  <c r="U13" i="1"/>
  <c r="U136" i="1"/>
  <c r="U158" i="1"/>
  <c r="U161" i="1"/>
  <c r="U167" i="1"/>
  <c r="U186" i="1"/>
  <c r="U19" i="1"/>
  <c r="U20" i="1"/>
  <c r="U25" i="1"/>
  <c r="U27" i="1"/>
  <c r="U252" i="1"/>
  <c r="U57" i="1"/>
  <c r="U100" i="1"/>
  <c r="U14" i="1"/>
  <c r="U169" i="1"/>
  <c r="U170" i="1"/>
  <c r="U256" i="1"/>
  <c r="U133" i="6"/>
  <c r="U138" i="6"/>
  <c r="U41" i="6"/>
  <c r="U128" i="3"/>
  <c r="U27" i="3"/>
  <c r="U311" i="3"/>
  <c r="U241" i="3"/>
  <c r="U240" i="3"/>
  <c r="U286" i="3"/>
  <c r="U185" i="3"/>
  <c r="U143" i="3"/>
  <c r="U315" i="3"/>
  <c r="U251" i="3"/>
  <c r="U16" i="3"/>
  <c r="U11" i="3"/>
  <c r="U58" i="3"/>
  <c r="U102" i="6"/>
  <c r="U46" i="6"/>
  <c r="U9" i="6"/>
  <c r="U10" i="6"/>
  <c r="U6" i="6"/>
  <c r="U69" i="6"/>
  <c r="U88" i="6"/>
  <c r="U200" i="6"/>
  <c r="U33" i="6"/>
  <c r="U26" i="4"/>
  <c r="U30" i="4"/>
  <c r="U29" i="4"/>
  <c r="U31" i="4"/>
  <c r="U207" i="3"/>
  <c r="U304" i="3"/>
  <c r="U78" i="3"/>
  <c r="U265" i="3"/>
  <c r="U193" i="3"/>
  <c r="U18" i="3"/>
  <c r="U13" i="3"/>
  <c r="U17" i="3"/>
  <c r="U14" i="3"/>
  <c r="U215" i="3"/>
  <c r="U168" i="3"/>
  <c r="U93" i="3"/>
  <c r="U306" i="3"/>
  <c r="U197" i="3"/>
  <c r="U294" i="3"/>
  <c r="U138" i="3"/>
  <c r="U48" i="3"/>
  <c r="U242" i="3"/>
  <c r="U126" i="3"/>
  <c r="U63" i="3"/>
  <c r="U229" i="3"/>
  <c r="U142" i="3"/>
  <c r="U233" i="3"/>
  <c r="U247" i="3"/>
  <c r="U97" i="3"/>
  <c r="U99" i="3"/>
  <c r="U136" i="3"/>
  <c r="U212" i="3"/>
  <c r="U32" i="2"/>
  <c r="U8" i="2"/>
  <c r="U24" i="2"/>
  <c r="U12" i="5"/>
  <c r="U25" i="5"/>
  <c r="U17" i="5"/>
  <c r="U26" i="5"/>
  <c r="U23" i="5"/>
  <c r="U18" i="5"/>
  <c r="O18" i="4" l="1"/>
  <c r="Q18" i="4" s="1"/>
  <c r="R18" i="4" s="1"/>
  <c r="D18" i="4" s="1"/>
  <c r="O17" i="4"/>
  <c r="Q17" i="4" s="1"/>
  <c r="R17" i="4" s="1"/>
  <c r="D17" i="4" s="1"/>
  <c r="O10" i="4"/>
  <c r="Q10" i="4" s="1"/>
  <c r="R10" i="4" s="1"/>
  <c r="D10" i="4" s="1"/>
  <c r="O12" i="4"/>
  <c r="Q12" i="4" s="1"/>
  <c r="R12" i="4" s="1"/>
  <c r="D12" i="4" s="1"/>
  <c r="O183" i="3"/>
  <c r="Q183" i="3" s="1"/>
  <c r="R183" i="3" s="1"/>
  <c r="D183" i="3" s="1"/>
  <c r="O219" i="3"/>
  <c r="Q219" i="3" s="1"/>
  <c r="R219" i="3" s="1"/>
  <c r="D219" i="3" s="1"/>
  <c r="O116" i="3"/>
  <c r="Q116" i="3" s="1"/>
  <c r="R116" i="3" s="1"/>
  <c r="D116" i="3" s="1"/>
  <c r="O129" i="3"/>
  <c r="Q129" i="3" s="1"/>
  <c r="R129" i="3" s="1"/>
  <c r="D129" i="3" s="1"/>
  <c r="O295" i="3"/>
  <c r="Q295" i="3" s="1"/>
  <c r="R295" i="3" s="1"/>
  <c r="D295" i="3" s="1"/>
  <c r="O106" i="3"/>
  <c r="Q106" i="3" s="1"/>
  <c r="R106" i="3" s="1"/>
  <c r="D106" i="3" s="1"/>
  <c r="O154" i="3"/>
  <c r="Q154" i="3" s="1"/>
  <c r="R154" i="3" s="1"/>
  <c r="D154" i="3" s="1"/>
  <c r="O293" i="3"/>
  <c r="Q293" i="3" s="1"/>
  <c r="R293" i="3" s="1"/>
  <c r="D293" i="3" s="1"/>
  <c r="O253" i="3"/>
  <c r="Q253" i="3" s="1"/>
  <c r="R253" i="3" s="1"/>
  <c r="D253" i="3" s="1"/>
  <c r="O117" i="3"/>
  <c r="Q117" i="3" s="1"/>
  <c r="R117" i="3" s="1"/>
  <c r="D117" i="3" s="1"/>
  <c r="O188" i="3"/>
  <c r="Q188" i="3" s="1"/>
  <c r="R188" i="3" s="1"/>
  <c r="D188" i="3" s="1"/>
  <c r="O162" i="3"/>
  <c r="Q162" i="3" s="1"/>
  <c r="R162" i="3" s="1"/>
  <c r="D162" i="3" s="1"/>
  <c r="O226" i="3"/>
  <c r="Q226" i="3" s="1"/>
  <c r="R226" i="3" s="1"/>
  <c r="D226" i="3" s="1"/>
  <c r="O25" i="3"/>
  <c r="Q25" i="3" s="1"/>
  <c r="R25" i="3" s="1"/>
  <c r="D25" i="3" s="1"/>
  <c r="O140" i="3"/>
  <c r="Q140" i="3" s="1"/>
  <c r="R140" i="3" s="1"/>
  <c r="D140" i="3" s="1"/>
  <c r="O298" i="3"/>
  <c r="Q298" i="3" s="1"/>
  <c r="R298" i="3" s="1"/>
  <c r="D298" i="3" s="1"/>
  <c r="O201" i="3"/>
  <c r="Q201" i="3" s="1"/>
  <c r="R201" i="3" s="1"/>
  <c r="D201" i="3" s="1"/>
  <c r="O289" i="3"/>
  <c r="Q289" i="3" s="1"/>
  <c r="R289" i="3" s="1"/>
  <c r="D289" i="3" s="1"/>
  <c r="O53" i="3"/>
  <c r="Q53" i="3" s="1"/>
  <c r="R53" i="3" s="1"/>
  <c r="D53" i="3" s="1"/>
  <c r="O324" i="3"/>
  <c r="Q324" i="3" s="1"/>
  <c r="R324" i="3" s="1"/>
  <c r="D324" i="3" s="1"/>
  <c r="O278" i="3"/>
  <c r="Q278" i="3" s="1"/>
  <c r="R278" i="3" s="1"/>
  <c r="D278" i="3" s="1"/>
  <c r="O158" i="3"/>
  <c r="Q158" i="3" s="1"/>
  <c r="R158" i="3" s="1"/>
  <c r="D158" i="3" s="1"/>
  <c r="O30" i="3"/>
  <c r="Q30" i="3" s="1"/>
  <c r="R30" i="3" s="1"/>
  <c r="D30" i="3" s="1"/>
  <c r="O281" i="3"/>
  <c r="Q281" i="3" s="1"/>
  <c r="R281" i="3" s="1"/>
  <c r="D281" i="3" s="1"/>
  <c r="O149" i="3"/>
  <c r="Q149" i="3" s="1"/>
  <c r="R149" i="3" s="1"/>
  <c r="D149" i="3" s="1"/>
  <c r="O210" i="3"/>
  <c r="Q210" i="3" s="1"/>
  <c r="R210" i="3" s="1"/>
  <c r="D210" i="3" s="1"/>
  <c r="O123" i="3"/>
  <c r="Q123" i="3" s="1"/>
  <c r="R123" i="3" s="1"/>
  <c r="D123" i="3" s="1"/>
  <c r="O152" i="3"/>
  <c r="Q152" i="3" s="1"/>
  <c r="R152" i="3" s="1"/>
  <c r="D152" i="3" s="1"/>
  <c r="O131" i="3"/>
  <c r="Q131" i="3" s="1"/>
  <c r="R131" i="3" s="1"/>
  <c r="D131" i="3" s="1"/>
  <c r="O181" i="3"/>
  <c r="Q181" i="3" s="1"/>
  <c r="R181" i="3" s="1"/>
  <c r="D181" i="3" s="1"/>
  <c r="O15" i="3"/>
  <c r="Q15" i="3" s="1"/>
  <c r="R15" i="3" s="1"/>
  <c r="D15" i="3" s="1"/>
  <c r="O64" i="3"/>
  <c r="Q64" i="3" s="1"/>
  <c r="R64" i="3" s="1"/>
  <c r="D64" i="3" s="1"/>
  <c r="O269" i="3"/>
  <c r="Q269" i="3" s="1"/>
  <c r="R269" i="3" s="1"/>
  <c r="D269" i="3" s="1"/>
  <c r="O205" i="3"/>
  <c r="Q205" i="3" s="1"/>
  <c r="R205" i="3" s="1"/>
  <c r="D205" i="3" s="1"/>
  <c r="O88" i="3"/>
  <c r="Q88" i="3" s="1"/>
  <c r="R88" i="3" s="1"/>
  <c r="D88" i="3" s="1"/>
  <c r="O145" i="3"/>
  <c r="Q145" i="3" s="1"/>
  <c r="R145" i="3" s="1"/>
  <c r="D145" i="3" s="1"/>
  <c r="O330" i="3"/>
  <c r="Q330" i="3" s="1"/>
  <c r="R330" i="3" s="1"/>
  <c r="D330" i="3" s="1"/>
  <c r="O297" i="3"/>
  <c r="Q297" i="3" s="1"/>
  <c r="R297" i="3" s="1"/>
  <c r="D297" i="3" s="1"/>
  <c r="O273" i="3"/>
  <c r="Q273" i="3" s="1"/>
  <c r="R273" i="3" s="1"/>
  <c r="D273" i="3" s="1"/>
  <c r="O26" i="2"/>
  <c r="Q26" i="2" s="1"/>
  <c r="R26" i="2" s="1"/>
  <c r="D26" i="2" s="1"/>
  <c r="Z221" i="1"/>
  <c r="AA221" i="1" s="1"/>
  <c r="O221" i="1" s="1"/>
  <c r="Q221" i="1" s="1"/>
  <c r="R221" i="1" s="1"/>
  <c r="D221" i="1" s="1"/>
  <c r="Z52" i="1"/>
  <c r="AA52" i="1" s="1"/>
  <c r="O52" i="1" s="1"/>
  <c r="Q52" i="1" s="1"/>
  <c r="R52" i="1" s="1"/>
  <c r="D52" i="1" s="1"/>
  <c r="O159" i="1"/>
  <c r="Q159" i="1" s="1"/>
  <c r="R159" i="1" s="1"/>
  <c r="D159" i="1" s="1"/>
  <c r="Z207" i="1"/>
  <c r="AA207" i="1" s="1"/>
  <c r="O207" i="1" s="1"/>
  <c r="Q207" i="1" s="1"/>
  <c r="R207" i="1" s="1"/>
  <c r="D207" i="1" s="1"/>
  <c r="Z164" i="1"/>
  <c r="AA164" i="1" s="1"/>
  <c r="O164" i="1" s="1"/>
  <c r="Q164" i="1" s="1"/>
  <c r="R164" i="1" s="1"/>
  <c r="D164" i="1" s="1"/>
  <c r="Z82" i="1"/>
  <c r="AA82" i="1" s="1"/>
  <c r="O82" i="1" s="1"/>
  <c r="Q82" i="1" s="1"/>
  <c r="R82" i="1" s="1"/>
  <c r="D82" i="1" s="1"/>
  <c r="Z23" i="1"/>
  <c r="AA23" i="1" s="1"/>
  <c r="O23" i="1" s="1"/>
  <c r="Q23" i="1" s="1"/>
  <c r="R23" i="1" s="1"/>
  <c r="D23" i="1" s="1"/>
  <c r="O117" i="1"/>
  <c r="Q117" i="1" s="1"/>
  <c r="R117" i="1" s="1"/>
  <c r="D117" i="1" s="1"/>
  <c r="Z240" i="1"/>
  <c r="AA240" i="1" s="1"/>
  <c r="O240" i="1" s="1"/>
  <c r="Q240" i="1" s="1"/>
  <c r="R240" i="1" s="1"/>
  <c r="D240" i="1" s="1"/>
  <c r="O45" i="1"/>
  <c r="Q45" i="1" s="1"/>
  <c r="R45" i="1" s="1"/>
  <c r="D45" i="1" s="1"/>
  <c r="Z236" i="1"/>
  <c r="AA236" i="1" s="1"/>
  <c r="O236" i="1" s="1"/>
  <c r="Q236" i="1" s="1"/>
  <c r="R236" i="1" s="1"/>
  <c r="D236" i="1" s="1"/>
  <c r="O72" i="1"/>
  <c r="Q72" i="1" s="1"/>
  <c r="R72" i="1" s="1"/>
  <c r="D72" i="1" s="1"/>
  <c r="Z123" i="1"/>
  <c r="AA123" i="1" s="1"/>
  <c r="O123" i="1" s="1"/>
  <c r="Q123" i="1" s="1"/>
  <c r="R123" i="1" s="1"/>
  <c r="D123" i="1" s="1"/>
  <c r="Z110" i="1"/>
  <c r="AA110" i="1" s="1"/>
  <c r="O110" i="1" s="1"/>
  <c r="Q110" i="1" s="1"/>
  <c r="R110" i="1" s="1"/>
  <c r="D110" i="1" s="1"/>
  <c r="O229" i="1"/>
  <c r="Q229" i="1" s="1"/>
  <c r="R229" i="1" s="1"/>
  <c r="D229" i="1" s="1"/>
  <c r="Z251" i="1"/>
  <c r="AA251" i="1" s="1"/>
  <c r="O251" i="1" s="1"/>
  <c r="Q251" i="1" s="1"/>
  <c r="R251" i="1" s="1"/>
  <c r="D251" i="1" s="1"/>
  <c r="O248" i="1"/>
  <c r="Q248" i="1" s="1"/>
  <c r="R248" i="1" s="1"/>
  <c r="D248" i="1" s="1"/>
  <c r="Z65" i="1"/>
  <c r="AA65" i="1" s="1"/>
  <c r="O65" i="1" s="1"/>
  <c r="Q65" i="1" s="1"/>
  <c r="R65" i="1" s="1"/>
  <c r="D65" i="1" s="1"/>
  <c r="Z240" i="3"/>
  <c r="AA240" i="3" s="1"/>
  <c r="AA67" i="3"/>
  <c r="Z192" i="3"/>
  <c r="AA192" i="3" s="1"/>
  <c r="Z78" i="3"/>
  <c r="AA78" i="3" s="1"/>
  <c r="Z222" i="3"/>
  <c r="AA222" i="3" s="1"/>
  <c r="Z265" i="3"/>
  <c r="AA265" i="3" s="1"/>
  <c r="Z190" i="3"/>
  <c r="AA190" i="3" s="1"/>
  <c r="Z286" i="3"/>
  <c r="AA286" i="3" s="1"/>
  <c r="Z303" i="3"/>
  <c r="AA303" i="3" s="1"/>
  <c r="Z202" i="3"/>
  <c r="AA202" i="3" s="1"/>
  <c r="Z283" i="3"/>
  <c r="AA283" i="3" s="1"/>
  <c r="Z132" i="3"/>
  <c r="AA132" i="3" s="1"/>
  <c r="Z208" i="3"/>
  <c r="AA208" i="3" s="1"/>
  <c r="AA85" i="3"/>
  <c r="Z99" i="3"/>
  <c r="AA99" i="3" s="1"/>
  <c r="Z272" i="3"/>
  <c r="AA272" i="3" s="1"/>
  <c r="Z128" i="3"/>
  <c r="AA128" i="3" s="1"/>
  <c r="AA61" i="6"/>
  <c r="O61" i="6" s="1"/>
  <c r="Q61" i="6" s="1"/>
  <c r="R61" i="6" s="1"/>
  <c r="D61" i="6" s="1"/>
  <c r="AA101" i="6"/>
  <c r="O101" i="6" s="1"/>
  <c r="Q101" i="6" s="1"/>
  <c r="R101" i="6" s="1"/>
  <c r="D101" i="6" s="1"/>
  <c r="AA167" i="3"/>
  <c r="AA9" i="3"/>
  <c r="AA237" i="3"/>
  <c r="AA8" i="3"/>
  <c r="AA95" i="3"/>
  <c r="AA43" i="3"/>
  <c r="AA228" i="3"/>
  <c r="AA62" i="3"/>
  <c r="AA77" i="3"/>
  <c r="AA296" i="3"/>
  <c r="AA108" i="3"/>
  <c r="AA200" i="3"/>
  <c r="AA71" i="3"/>
  <c r="AA301" i="3"/>
  <c r="Z88" i="6"/>
  <c r="Z11" i="2"/>
  <c r="AA11" i="2" s="1"/>
  <c r="Z26" i="5"/>
  <c r="AA26" i="5" s="1"/>
  <c r="O26" i="5" s="1"/>
  <c r="Q26" i="5" s="1"/>
  <c r="R26" i="5" s="1"/>
  <c r="Z7" i="5"/>
  <c r="AA7" i="5" s="1"/>
  <c r="O7" i="5" s="1"/>
  <c r="Q7" i="5" s="1"/>
  <c r="R7" i="5" s="1"/>
  <c r="Z10" i="5"/>
  <c r="AA10" i="5" s="1"/>
  <c r="O10" i="5" s="1"/>
  <c r="Q10" i="5" s="1"/>
  <c r="R10" i="5" s="1"/>
  <c r="Z9" i="5"/>
  <c r="AA9" i="5" s="1"/>
  <c r="O9" i="5" s="1"/>
  <c r="Q9" i="5" s="1"/>
  <c r="R9" i="5" s="1"/>
  <c r="V290" i="3"/>
  <c r="V328" i="3"/>
  <c r="V175" i="3"/>
  <c r="V92" i="3"/>
  <c r="V10" i="3"/>
  <c r="V39" i="3"/>
  <c r="V17" i="3"/>
  <c r="V7" i="3"/>
  <c r="V254" i="3"/>
  <c r="V244" i="3"/>
  <c r="V14" i="4"/>
  <c r="V241" i="3"/>
  <c r="V311" i="3"/>
  <c r="V213" i="3"/>
  <c r="V65" i="3"/>
  <c r="V185" i="3"/>
  <c r="V143" i="3"/>
  <c r="X120" i="3"/>
  <c r="V126" i="3"/>
  <c r="V48" i="3"/>
  <c r="V294" i="3"/>
  <c r="V315" i="3"/>
  <c r="V251" i="3"/>
  <c r="V275" i="3"/>
  <c r="V242" i="3"/>
  <c r="V16" i="3"/>
  <c r="V27" i="3"/>
  <c r="V134" i="3"/>
  <c r="V207" i="3"/>
  <c r="V11" i="3"/>
  <c r="V103" i="3"/>
  <c r="X39" i="3"/>
  <c r="V51" i="3"/>
  <c r="V26" i="4"/>
  <c r="V33" i="3"/>
  <c r="V193" i="3"/>
  <c r="V304" i="3"/>
  <c r="V125" i="3"/>
  <c r="V96" i="3"/>
  <c r="V282" i="3"/>
  <c r="V100" i="3"/>
  <c r="V14" i="3"/>
  <c r="V13" i="3"/>
  <c r="V55" i="3"/>
  <c r="V23" i="4"/>
  <c r="V47" i="3"/>
  <c r="V285" i="3"/>
  <c r="V21" i="3"/>
  <c r="V35" i="3"/>
  <c r="X101" i="3"/>
  <c r="V29" i="4"/>
  <c r="V31" i="4"/>
  <c r="V29" i="3"/>
  <c r="V159" i="3"/>
  <c r="V248" i="3"/>
  <c r="V233" i="3"/>
  <c r="V136" i="3"/>
  <c r="V229" i="3"/>
  <c r="V58" i="3"/>
  <c r="V57" i="3"/>
  <c r="V8" i="4"/>
  <c r="V197" i="3"/>
  <c r="V284" i="3"/>
  <c r="V120" i="3"/>
  <c r="V121" i="3"/>
  <c r="V80" i="3"/>
  <c r="V306" i="3"/>
  <c r="V186" i="3"/>
  <c r="V247" i="3"/>
  <c r="Z247" i="3" s="1"/>
  <c r="V235" i="3"/>
  <c r="Z235" i="3" s="1"/>
  <c r="V97" i="3"/>
  <c r="V146" i="3"/>
  <c r="V34" i="3"/>
  <c r="V93" i="3"/>
  <c r="V138" i="3"/>
  <c r="V215" i="3"/>
  <c r="V28" i="4"/>
  <c r="X28" i="4"/>
  <c r="U13" i="8"/>
  <c r="W13" i="8"/>
  <c r="U7" i="8"/>
  <c r="V170" i="6"/>
  <c r="V35" i="6"/>
  <c r="V160" i="6"/>
  <c r="V133" i="6"/>
  <c r="V6" i="6"/>
  <c r="V15" i="6"/>
  <c r="V14" i="6"/>
  <c r="V121" i="6"/>
  <c r="V123" i="6"/>
  <c r="V186" i="6"/>
  <c r="V42" i="6"/>
  <c r="V43" i="6"/>
  <c r="V66" i="6"/>
  <c r="V62" i="6"/>
  <c r="V102" i="6"/>
  <c r="V7" i="6"/>
  <c r="V9" i="6"/>
  <c r="V69" i="6"/>
  <c r="V10" i="6"/>
  <c r="V18" i="6"/>
  <c r="V46" i="6"/>
  <c r="X46" i="6"/>
  <c r="V29" i="1"/>
  <c r="V24" i="1"/>
  <c r="V10" i="2"/>
  <c r="V144" i="1"/>
  <c r="V66" i="1"/>
  <c r="V27" i="2"/>
  <c r="V28" i="1"/>
  <c r="V114" i="1"/>
  <c r="V20" i="2"/>
  <c r="V27" i="1"/>
  <c r="V18" i="1"/>
  <c r="V21" i="1"/>
  <c r="V171" i="1"/>
  <c r="V161" i="1"/>
  <c r="V13" i="2"/>
  <c r="V32" i="2"/>
  <c r="V170" i="1"/>
  <c r="V95" i="1"/>
  <c r="V100" i="1"/>
  <c r="V25" i="1"/>
  <c r="V24" i="2"/>
  <c r="V9" i="2"/>
  <c r="V74" i="1"/>
  <c r="V19" i="1"/>
  <c r="V186" i="1"/>
  <c r="V98" i="1"/>
  <c r="V8" i="2"/>
  <c r="V11" i="1"/>
  <c r="V13" i="1"/>
  <c r="O77" i="3" l="1"/>
  <c r="Q77" i="3" s="1"/>
  <c r="R77" i="3" s="1"/>
  <c r="D77" i="3" s="1"/>
  <c r="O132" i="3"/>
  <c r="Q132" i="3" s="1"/>
  <c r="R132" i="3" s="1"/>
  <c r="D132" i="3" s="1"/>
  <c r="O208" i="3"/>
  <c r="Q208" i="3" s="1"/>
  <c r="R208" i="3" s="1"/>
  <c r="D208" i="3" s="1"/>
  <c r="O190" i="3"/>
  <c r="Q190" i="3" s="1"/>
  <c r="R190" i="3" s="1"/>
  <c r="D190" i="3" s="1"/>
  <c r="O240" i="3"/>
  <c r="Q240" i="3" s="1"/>
  <c r="R240" i="3" s="1"/>
  <c r="D240" i="3" s="1"/>
  <c r="O8" i="3"/>
  <c r="Q8" i="3" s="1"/>
  <c r="R8" i="3" s="1"/>
  <c r="D8" i="3" s="1"/>
  <c r="O167" i="3"/>
  <c r="Q167" i="3" s="1"/>
  <c r="R167" i="3" s="1"/>
  <c r="D167" i="3" s="1"/>
  <c r="O265" i="3"/>
  <c r="Q265" i="3" s="1"/>
  <c r="R265" i="3" s="1"/>
  <c r="D265" i="3" s="1"/>
  <c r="O283" i="3"/>
  <c r="Q283" i="3" s="1"/>
  <c r="R283" i="3" s="1"/>
  <c r="D283" i="3" s="1"/>
  <c r="O222" i="3"/>
  <c r="Q222" i="3" s="1"/>
  <c r="R222" i="3" s="1"/>
  <c r="D222" i="3" s="1"/>
  <c r="O62" i="3"/>
  <c r="Q62" i="3" s="1"/>
  <c r="R62" i="3" s="1"/>
  <c r="D62" i="3" s="1"/>
  <c r="O95" i="3"/>
  <c r="Q95" i="3" s="1"/>
  <c r="R95" i="3" s="1"/>
  <c r="D95" i="3" s="1"/>
  <c r="O301" i="3"/>
  <c r="Q301" i="3" s="1"/>
  <c r="R301" i="3" s="1"/>
  <c r="D301" i="3" s="1"/>
  <c r="O200" i="3"/>
  <c r="Q200" i="3" s="1"/>
  <c r="R200" i="3" s="1"/>
  <c r="D200" i="3" s="1"/>
  <c r="O128" i="3"/>
  <c r="Q128" i="3" s="1"/>
  <c r="R128" i="3" s="1"/>
  <c r="D128" i="3" s="1"/>
  <c r="O67" i="3"/>
  <c r="Q67" i="3" s="1"/>
  <c r="R67" i="3" s="1"/>
  <c r="D67" i="3" s="1"/>
  <c r="O85" i="3"/>
  <c r="Q85" i="3" s="1"/>
  <c r="R85" i="3" s="1"/>
  <c r="D85" i="3" s="1"/>
  <c r="O228" i="3"/>
  <c r="Q228" i="3" s="1"/>
  <c r="R228" i="3" s="1"/>
  <c r="D228" i="3" s="1"/>
  <c r="O43" i="3"/>
  <c r="Q43" i="3" s="1"/>
  <c r="R43" i="3" s="1"/>
  <c r="D43" i="3" s="1"/>
  <c r="O202" i="3"/>
  <c r="Q202" i="3" s="1"/>
  <c r="R202" i="3" s="1"/>
  <c r="D202" i="3" s="1"/>
  <c r="O303" i="3"/>
  <c r="Q303" i="3" s="1"/>
  <c r="R303" i="3" s="1"/>
  <c r="D303" i="3" s="1"/>
  <c r="O286" i="3"/>
  <c r="Q286" i="3" s="1"/>
  <c r="R286" i="3" s="1"/>
  <c r="D286" i="3" s="1"/>
  <c r="O9" i="3"/>
  <c r="Q9" i="3" s="1"/>
  <c r="R9" i="3" s="1"/>
  <c r="D9" i="3" s="1"/>
  <c r="O71" i="3"/>
  <c r="Q71" i="3" s="1"/>
  <c r="R71" i="3" s="1"/>
  <c r="D71" i="3" s="1"/>
  <c r="O192" i="3"/>
  <c r="Q192" i="3" s="1"/>
  <c r="R192" i="3" s="1"/>
  <c r="D192" i="3" s="1"/>
  <c r="O108" i="3"/>
  <c r="Q108" i="3" s="1"/>
  <c r="R108" i="3" s="1"/>
  <c r="D108" i="3" s="1"/>
  <c r="O272" i="3"/>
  <c r="Q272" i="3" s="1"/>
  <c r="R272" i="3" s="1"/>
  <c r="D272" i="3" s="1"/>
  <c r="O237" i="3"/>
  <c r="Q237" i="3" s="1"/>
  <c r="R237" i="3" s="1"/>
  <c r="D237" i="3" s="1"/>
  <c r="O78" i="3"/>
  <c r="Q78" i="3" s="1"/>
  <c r="R78" i="3" s="1"/>
  <c r="D78" i="3" s="1"/>
  <c r="O296" i="3"/>
  <c r="Q296" i="3" s="1"/>
  <c r="R296" i="3" s="1"/>
  <c r="D296" i="3" s="1"/>
  <c r="O99" i="3"/>
  <c r="Q99" i="3" s="1"/>
  <c r="R99" i="3" s="1"/>
  <c r="D99" i="3" s="1"/>
  <c r="O11" i="2"/>
  <c r="Q11" i="2" s="1"/>
  <c r="R11" i="2" s="1"/>
  <c r="D11" i="2" s="1"/>
  <c r="Z39" i="3"/>
  <c r="AA39" i="3" s="1"/>
  <c r="Z311" i="3"/>
  <c r="AA311" i="3" s="1"/>
  <c r="Z100" i="3"/>
  <c r="AA100" i="3" s="1"/>
  <c r="Z285" i="3"/>
  <c r="AA285" i="3" s="1"/>
  <c r="Z213" i="3"/>
  <c r="AA213" i="3" s="1"/>
  <c r="AA247" i="3"/>
  <c r="Z92" i="3"/>
  <c r="AA92" i="3" s="1"/>
  <c r="Z284" i="3"/>
  <c r="AA284" i="3" s="1"/>
  <c r="Z34" i="3"/>
  <c r="AA34" i="3" s="1"/>
  <c r="AA235" i="3"/>
  <c r="Z175" i="3"/>
  <c r="AA175" i="3" s="1"/>
  <c r="Z65" i="3"/>
  <c r="AA65" i="3" s="1"/>
  <c r="Z254" i="3"/>
  <c r="AA254" i="3" s="1"/>
  <c r="Z101" i="3"/>
  <c r="AA101" i="3" s="1"/>
  <c r="Z328" i="3"/>
  <c r="AA328" i="3" s="1"/>
  <c r="Z55" i="3"/>
  <c r="AA55" i="3" s="1"/>
  <c r="Z96" i="3"/>
  <c r="AA96" i="3" s="1"/>
  <c r="Z290" i="3"/>
  <c r="AA290" i="3" s="1"/>
  <c r="Z103" i="3"/>
  <c r="AA103" i="3" s="1"/>
  <c r="Z57" i="3"/>
  <c r="AA57" i="3" s="1"/>
  <c r="Z125" i="3"/>
  <c r="AA125" i="3" s="1"/>
  <c r="Z29" i="3"/>
  <c r="AA29" i="3" s="1"/>
  <c r="Z80" i="3"/>
  <c r="AA80" i="3" s="1"/>
  <c r="Z120" i="3"/>
  <c r="AA120" i="3" s="1"/>
  <c r="Z229" i="3"/>
  <c r="AA229" i="3" s="1"/>
  <c r="AA88" i="6"/>
  <c r="O88" i="6" s="1"/>
  <c r="Q88" i="6" s="1"/>
  <c r="R88" i="6" s="1"/>
  <c r="D88" i="6" s="1"/>
  <c r="Y13" i="8"/>
  <c r="Y7" i="8"/>
  <c r="Z43" i="6"/>
  <c r="Z66" i="6"/>
  <c r="Z42" i="6"/>
  <c r="Z46" i="6"/>
  <c r="Z18" i="6"/>
  <c r="Z28" i="4"/>
  <c r="AA28" i="4" s="1"/>
  <c r="Z10" i="2"/>
  <c r="AA10" i="2" s="1"/>
  <c r="Z27" i="2"/>
  <c r="AA27" i="2" s="1"/>
  <c r="V235" i="1"/>
  <c r="V49" i="1"/>
  <c r="V38" i="1"/>
  <c r="V167" i="1"/>
  <c r="V73" i="1"/>
  <c r="V57" i="1"/>
  <c r="V256" i="1"/>
  <c r="V252" i="1"/>
  <c r="V169" i="1"/>
  <c r="V116" i="1"/>
  <c r="V20" i="1"/>
  <c r="V26" i="1"/>
  <c r="V130" i="1"/>
  <c r="V158" i="1"/>
  <c r="V106" i="1"/>
  <c r="V8" i="1"/>
  <c r="V12" i="5"/>
  <c r="V17" i="5"/>
  <c r="V25" i="5"/>
  <c r="V23" i="5"/>
  <c r="V18" i="5"/>
  <c r="V11" i="5"/>
  <c r="V14" i="5"/>
  <c r="Y14" i="3"/>
  <c r="Y7" i="3"/>
  <c r="Y17" i="3"/>
  <c r="Y121" i="3"/>
  <c r="W123" i="6"/>
  <c r="W121" i="6"/>
  <c r="W186" i="6"/>
  <c r="W35" i="6"/>
  <c r="W170" i="6"/>
  <c r="W13" i="6"/>
  <c r="W160" i="6"/>
  <c r="W10" i="6"/>
  <c r="W124" i="3"/>
  <c r="W172" i="3"/>
  <c r="W60" i="3"/>
  <c r="W184" i="3"/>
  <c r="W209" i="3"/>
  <c r="W196" i="3"/>
  <c r="W86" i="3"/>
  <c r="W211" i="3"/>
  <c r="W193" i="3"/>
  <c r="W207" i="3"/>
  <c r="Z207" i="3" s="1"/>
  <c r="W133" i="6"/>
  <c r="W13" i="3"/>
  <c r="W24" i="2"/>
  <c r="W24" i="1"/>
  <c r="W25" i="1"/>
  <c r="W19" i="1"/>
  <c r="W13" i="1"/>
  <c r="W11" i="1"/>
  <c r="W74" i="1"/>
  <c r="W100" i="1"/>
  <c r="W170" i="1"/>
  <c r="W171" i="1"/>
  <c r="W161" i="1"/>
  <c r="Y215" i="3"/>
  <c r="W14" i="6"/>
  <c r="W17" i="6"/>
  <c r="W7" i="6"/>
  <c r="W304" i="3"/>
  <c r="W122" i="3"/>
  <c r="W26" i="4"/>
  <c r="W33" i="3"/>
  <c r="W114" i="1"/>
  <c r="W27" i="1"/>
  <c r="W235" i="1"/>
  <c r="W18" i="1"/>
  <c r="W66" i="1"/>
  <c r="W21" i="1"/>
  <c r="W168" i="3"/>
  <c r="W294" i="3"/>
  <c r="W48" i="3"/>
  <c r="W27" i="3"/>
  <c r="W321" i="3"/>
  <c r="W215" i="3"/>
  <c r="W17" i="3"/>
  <c r="W7" i="3"/>
  <c r="W11" i="3"/>
  <c r="W29" i="1"/>
  <c r="W30" i="1"/>
  <c r="AG62" i="6"/>
  <c r="AH62" i="6"/>
  <c r="AI62" i="6"/>
  <c r="W53" i="6"/>
  <c r="W102" i="6"/>
  <c r="W69" i="6"/>
  <c r="W8" i="4"/>
  <c r="W19" i="4"/>
  <c r="W14" i="3"/>
  <c r="W121" i="3"/>
  <c r="W47" i="3"/>
  <c r="W251" i="3"/>
  <c r="W241" i="3"/>
  <c r="Z241" i="3" s="1"/>
  <c r="W142" i="3"/>
  <c r="W58" i="3"/>
  <c r="W248" i="3"/>
  <c r="W110" i="3"/>
  <c r="W315" i="3"/>
  <c r="W318" i="3"/>
  <c r="W275" i="3"/>
  <c r="W16" i="3"/>
  <c r="W30" i="4"/>
  <c r="W35" i="3"/>
  <c r="Z35" i="3" s="1"/>
  <c r="W242" i="3"/>
  <c r="W9" i="2"/>
  <c r="W20" i="2"/>
  <c r="W32" i="2"/>
  <c r="W28" i="1"/>
  <c r="O28" i="4" l="1"/>
  <c r="Q28" i="4" s="1"/>
  <c r="R28" i="4" s="1"/>
  <c r="D28" i="4" s="1"/>
  <c r="O229" i="3"/>
  <c r="Q229" i="3" s="1"/>
  <c r="R229" i="3" s="1"/>
  <c r="D229" i="3" s="1"/>
  <c r="O235" i="3"/>
  <c r="Q235" i="3" s="1"/>
  <c r="R235" i="3" s="1"/>
  <c r="D235" i="3" s="1"/>
  <c r="O57" i="3"/>
  <c r="Q57" i="3" s="1"/>
  <c r="R57" i="3" s="1"/>
  <c r="D57" i="3" s="1"/>
  <c r="O103" i="3"/>
  <c r="Q103" i="3" s="1"/>
  <c r="R103" i="3" s="1"/>
  <c r="D103" i="3" s="1"/>
  <c r="O100" i="3"/>
  <c r="Q100" i="3" s="1"/>
  <c r="R100" i="3" s="1"/>
  <c r="D100" i="3" s="1"/>
  <c r="O120" i="3"/>
  <c r="Q120" i="3" s="1"/>
  <c r="R120" i="3" s="1"/>
  <c r="D120" i="3" s="1"/>
  <c r="O34" i="3"/>
  <c r="Q34" i="3" s="1"/>
  <c r="R34" i="3" s="1"/>
  <c r="D34" i="3" s="1"/>
  <c r="O125" i="3"/>
  <c r="Q125" i="3" s="1"/>
  <c r="R125" i="3" s="1"/>
  <c r="D125" i="3" s="1"/>
  <c r="O285" i="3"/>
  <c r="Q285" i="3" s="1"/>
  <c r="R285" i="3" s="1"/>
  <c r="D285" i="3" s="1"/>
  <c r="O39" i="3"/>
  <c r="Q39" i="3" s="1"/>
  <c r="R39" i="3" s="1"/>
  <c r="D39" i="3" s="1"/>
  <c r="O175" i="3"/>
  <c r="Q175" i="3" s="1"/>
  <c r="R175" i="3" s="1"/>
  <c r="D175" i="3" s="1"/>
  <c r="O92" i="3"/>
  <c r="Q92" i="3" s="1"/>
  <c r="R92" i="3" s="1"/>
  <c r="D92" i="3" s="1"/>
  <c r="O247" i="3"/>
  <c r="Q247" i="3" s="1"/>
  <c r="R247" i="3" s="1"/>
  <c r="D247" i="3" s="1"/>
  <c r="O213" i="3"/>
  <c r="Q213" i="3" s="1"/>
  <c r="R213" i="3" s="1"/>
  <c r="D213" i="3" s="1"/>
  <c r="O55" i="3"/>
  <c r="Q55" i="3" s="1"/>
  <c r="R55" i="3" s="1"/>
  <c r="D55" i="3" s="1"/>
  <c r="O328" i="3"/>
  <c r="Q328" i="3" s="1"/>
  <c r="R328" i="3" s="1"/>
  <c r="D328" i="3" s="1"/>
  <c r="O80" i="3"/>
  <c r="Q80" i="3" s="1"/>
  <c r="R80" i="3" s="1"/>
  <c r="D80" i="3" s="1"/>
  <c r="O29" i="3"/>
  <c r="Q29" i="3" s="1"/>
  <c r="R29" i="3" s="1"/>
  <c r="D29" i="3" s="1"/>
  <c r="O290" i="3"/>
  <c r="Q290" i="3" s="1"/>
  <c r="R290" i="3" s="1"/>
  <c r="D290" i="3" s="1"/>
  <c r="O101" i="3"/>
  <c r="Q101" i="3" s="1"/>
  <c r="R101" i="3" s="1"/>
  <c r="D101" i="3" s="1"/>
  <c r="O284" i="3"/>
  <c r="Q284" i="3" s="1"/>
  <c r="R284" i="3" s="1"/>
  <c r="D284" i="3" s="1"/>
  <c r="O311" i="3"/>
  <c r="Q311" i="3" s="1"/>
  <c r="R311" i="3" s="1"/>
  <c r="D311" i="3" s="1"/>
  <c r="O254" i="3"/>
  <c r="Q254" i="3" s="1"/>
  <c r="R254" i="3" s="1"/>
  <c r="D254" i="3" s="1"/>
  <c r="O96" i="3"/>
  <c r="Q96" i="3" s="1"/>
  <c r="R96" i="3" s="1"/>
  <c r="D96" i="3" s="1"/>
  <c r="O65" i="3"/>
  <c r="Q65" i="3" s="1"/>
  <c r="R65" i="3" s="1"/>
  <c r="D65" i="3" s="1"/>
  <c r="O27" i="2"/>
  <c r="Q27" i="2" s="1"/>
  <c r="R27" i="2" s="1"/>
  <c r="D27" i="2" s="1"/>
  <c r="O10" i="2"/>
  <c r="Q10" i="2" s="1"/>
  <c r="R10" i="2" s="1"/>
  <c r="D10" i="2" s="1"/>
  <c r="Z86" i="3"/>
  <c r="AA86" i="3" s="1"/>
  <c r="Z184" i="3"/>
  <c r="AA184" i="3" s="1"/>
  <c r="AA35" i="3"/>
  <c r="Z211" i="3"/>
  <c r="AA211" i="3" s="1"/>
  <c r="Z124" i="3"/>
  <c r="AA124" i="3" s="1"/>
  <c r="Z16" i="3"/>
  <c r="AA16" i="3" s="1"/>
  <c r="AA207" i="3"/>
  <c r="Z196" i="3"/>
  <c r="AA196" i="3" s="1"/>
  <c r="Z209" i="3"/>
  <c r="AA209" i="3" s="1"/>
  <c r="Z122" i="3"/>
  <c r="AA122" i="3" s="1"/>
  <c r="Z168" i="3"/>
  <c r="AA168" i="3" s="1"/>
  <c r="AA241" i="3"/>
  <c r="Z304" i="3"/>
  <c r="AA304" i="3" s="1"/>
  <c r="Z60" i="3"/>
  <c r="AA60" i="3" s="1"/>
  <c r="Z172" i="3"/>
  <c r="AA172" i="3" s="1"/>
  <c r="Z33" i="3"/>
  <c r="AA33" i="3" s="1"/>
  <c r="Z110" i="3"/>
  <c r="AA110" i="3" s="1"/>
  <c r="Z13" i="8"/>
  <c r="N13" i="8" s="1"/>
  <c r="P13" i="8" s="1"/>
  <c r="Q13" i="8" s="1"/>
  <c r="D13" i="8" s="1"/>
  <c r="Z7" i="8"/>
  <c r="N7" i="8" s="1"/>
  <c r="P7" i="8" s="1"/>
  <c r="Q7" i="8" s="1"/>
  <c r="D7" i="8" s="1"/>
  <c r="AA18" i="6"/>
  <c r="O18" i="6" s="1"/>
  <c r="Q18" i="6" s="1"/>
  <c r="R18" i="6" s="1"/>
  <c r="D18" i="6" s="1"/>
  <c r="AA43" i="6"/>
  <c r="O43" i="6" s="1"/>
  <c r="Q43" i="6" s="1"/>
  <c r="R43" i="6" s="1"/>
  <c r="D43" i="6" s="1"/>
  <c r="AA42" i="6"/>
  <c r="O42" i="6" s="1"/>
  <c r="Q42" i="6" s="1"/>
  <c r="R42" i="6" s="1"/>
  <c r="D42" i="6" s="1"/>
  <c r="AA66" i="6"/>
  <c r="O66" i="6" s="1"/>
  <c r="Q66" i="6" s="1"/>
  <c r="R66" i="6" s="1"/>
  <c r="D66" i="6" s="1"/>
  <c r="AA46" i="6"/>
  <c r="O46" i="6" s="1"/>
  <c r="Q46" i="6" s="1"/>
  <c r="R46" i="6" s="1"/>
  <c r="D46" i="6" s="1"/>
  <c r="Z69" i="6"/>
  <c r="Z30" i="4"/>
  <c r="AA30" i="4" s="1"/>
  <c r="Z8" i="4"/>
  <c r="AA8" i="4" s="1"/>
  <c r="Z19" i="4"/>
  <c r="AA19" i="4" s="1"/>
  <c r="Z14" i="5"/>
  <c r="AA14" i="5" s="1"/>
  <c r="O14" i="5" s="1"/>
  <c r="Q14" i="5" s="1"/>
  <c r="R14" i="5" s="1"/>
  <c r="Z11" i="5"/>
  <c r="AA11" i="5" s="1"/>
  <c r="O11" i="5" s="1"/>
  <c r="Q11" i="5" s="1"/>
  <c r="R11" i="5" s="1"/>
  <c r="Z17" i="5"/>
  <c r="AA17" i="5" s="1"/>
  <c r="O17" i="5" s="1"/>
  <c r="Q17" i="5" s="1"/>
  <c r="R17" i="5" s="1"/>
  <c r="AK62" i="6"/>
  <c r="AL62" i="6" s="1"/>
  <c r="X62" i="6" s="1"/>
  <c r="W34" i="1"/>
  <c r="W98" i="1"/>
  <c r="AF28" i="2"/>
  <c r="AE28" i="2"/>
  <c r="W169" i="1"/>
  <c r="W56" i="1"/>
  <c r="W57" i="1"/>
  <c r="W252" i="1"/>
  <c r="W136" i="1"/>
  <c r="W158" i="1"/>
  <c r="W35" i="2"/>
  <c r="W49" i="1"/>
  <c r="W73" i="1"/>
  <c r="W201" i="1"/>
  <c r="W167" i="1"/>
  <c r="W20" i="1"/>
  <c r="W22" i="2"/>
  <c r="W6" i="1"/>
  <c r="W26" i="1"/>
  <c r="W12" i="5"/>
  <c r="W25" i="5"/>
  <c r="W23" i="5"/>
  <c r="W18" i="5"/>
  <c r="AB12" i="8"/>
  <c r="AJ16" i="8"/>
  <c r="AK16" i="8" s="1"/>
  <c r="AJ20" i="8"/>
  <c r="AK20" i="8" s="1"/>
  <c r="W20" i="8" s="1"/>
  <c r="AJ23" i="8"/>
  <c r="AK23" i="8" s="1"/>
  <c r="W23" i="8" s="1"/>
  <c r="AK53" i="6"/>
  <c r="AL53" i="6" s="1"/>
  <c r="X53" i="6" s="1"/>
  <c r="AK79" i="6"/>
  <c r="AL79" i="6" s="1"/>
  <c r="X79" i="6" s="1"/>
  <c r="AK102" i="6"/>
  <c r="AL102" i="6" s="1"/>
  <c r="X102" i="6" s="1"/>
  <c r="AK128" i="6"/>
  <c r="AL128" i="6" s="1"/>
  <c r="X128" i="6" s="1"/>
  <c r="AK159" i="6"/>
  <c r="AL159" i="6" s="1"/>
  <c r="X159" i="6" s="1"/>
  <c r="AI82" i="6"/>
  <c r="AF82" i="6"/>
  <c r="AE82" i="6"/>
  <c r="AF200" i="6"/>
  <c r="AE200" i="6"/>
  <c r="AD188" i="6"/>
  <c r="AK188" i="6" s="1"/>
  <c r="AL188" i="6" s="1"/>
  <c r="X188" i="6" s="1"/>
  <c r="AD180" i="6"/>
  <c r="AK180" i="6" s="1"/>
  <c r="AL180" i="6" s="1"/>
  <c r="X180" i="6" s="1"/>
  <c r="AF127" i="6"/>
  <c r="AK127" i="6" s="1"/>
  <c r="AL127" i="6" s="1"/>
  <c r="X127" i="6" s="1"/>
  <c r="AJ123" i="6"/>
  <c r="AH123" i="6"/>
  <c r="AG123" i="6"/>
  <c r="AF123" i="6"/>
  <c r="AE123" i="6"/>
  <c r="AD123" i="6"/>
  <c r="AJ121" i="6"/>
  <c r="AH121" i="6"/>
  <c r="AG121" i="6"/>
  <c r="AF121" i="6"/>
  <c r="AD121" i="6"/>
  <c r="AF120" i="6"/>
  <c r="AK120" i="6" s="1"/>
  <c r="AL120" i="6" s="1"/>
  <c r="X120" i="6" s="1"/>
  <c r="AD100" i="6"/>
  <c r="AK100" i="6" s="1"/>
  <c r="AL100" i="6" s="1"/>
  <c r="X100" i="6" s="1"/>
  <c r="AF58" i="6"/>
  <c r="AD58" i="6"/>
  <c r="AE28" i="6"/>
  <c r="AK28" i="6" s="1"/>
  <c r="AL28" i="6" s="1"/>
  <c r="X28" i="6" s="1"/>
  <c r="AF195" i="6"/>
  <c r="AC195" i="6"/>
  <c r="AJ186" i="6"/>
  <c r="AI186" i="6"/>
  <c r="AH186" i="6"/>
  <c r="AI133" i="6"/>
  <c r="AK133" i="6" s="1"/>
  <c r="AL133" i="6" s="1"/>
  <c r="X133" i="6" s="1"/>
  <c r="AF130" i="6"/>
  <c r="AK130" i="6" s="1"/>
  <c r="AL130" i="6" s="1"/>
  <c r="X130" i="6" s="1"/>
  <c r="AG33" i="6"/>
  <c r="AH33" i="6"/>
  <c r="AE14" i="6"/>
  <c r="AF14" i="6"/>
  <c r="AG14" i="6"/>
  <c r="AH14" i="6"/>
  <c r="AI14" i="6"/>
  <c r="AF17" i="6"/>
  <c r="AG17" i="6"/>
  <c r="AH17" i="6"/>
  <c r="AE9" i="6"/>
  <c r="AF9" i="6"/>
  <c r="AG9" i="6"/>
  <c r="AH9" i="6"/>
  <c r="AI9" i="6"/>
  <c r="AF7" i="6"/>
  <c r="AG7" i="6"/>
  <c r="AH7" i="6"/>
  <c r="AF37" i="6"/>
  <c r="AK37" i="6" s="1"/>
  <c r="AL37" i="6" s="1"/>
  <c r="X37" i="6" s="1"/>
  <c r="AF32" i="4"/>
  <c r="AK32" i="4" s="1"/>
  <c r="AL32" i="4" s="1"/>
  <c r="X32" i="4" s="1"/>
  <c r="AK27" i="4"/>
  <c r="AL27" i="4" s="1"/>
  <c r="AK24" i="4"/>
  <c r="AL24" i="4" s="1"/>
  <c r="X24" i="4" s="1"/>
  <c r="AJ25" i="4"/>
  <c r="AK25" i="4"/>
  <c r="AF16" i="4"/>
  <c r="AK16" i="4" s="1"/>
  <c r="AH8" i="4"/>
  <c r="AK8" i="4" s="1"/>
  <c r="AI31" i="4"/>
  <c r="AH31" i="4"/>
  <c r="AF31" i="4"/>
  <c r="AE31" i="4"/>
  <c r="AI26" i="4"/>
  <c r="AK26" i="4" s="1"/>
  <c r="AL26" i="4" s="1"/>
  <c r="AC9" i="4"/>
  <c r="AE9" i="4"/>
  <c r="AF9" i="4"/>
  <c r="AC14" i="4"/>
  <c r="AK14" i="4" s="1"/>
  <c r="AJ14" i="4"/>
  <c r="AJ335" i="3"/>
  <c r="AK335" i="3"/>
  <c r="AH322" i="3"/>
  <c r="AK322" i="3" s="1"/>
  <c r="AL322" i="3" s="1"/>
  <c r="X322" i="3" s="1"/>
  <c r="AF321" i="3"/>
  <c r="AG321" i="3"/>
  <c r="AH321" i="3"/>
  <c r="AH318" i="3"/>
  <c r="AK318" i="3" s="1"/>
  <c r="AF306" i="3"/>
  <c r="AH306" i="3"/>
  <c r="AC314" i="3"/>
  <c r="AE314" i="3"/>
  <c r="AF314" i="3"/>
  <c r="AG315" i="3"/>
  <c r="AH315" i="3"/>
  <c r="AD294" i="3"/>
  <c r="AF294" i="3"/>
  <c r="AG294" i="3"/>
  <c r="AH294" i="3"/>
  <c r="AJ294" i="3"/>
  <c r="AF291" i="3"/>
  <c r="AK291" i="3" s="1"/>
  <c r="AH251" i="3"/>
  <c r="AK251" i="3" s="1"/>
  <c r="AL251" i="3" s="1"/>
  <c r="AE248" i="3"/>
  <c r="AF248" i="3"/>
  <c r="AH248" i="3"/>
  <c r="AF249" i="3"/>
  <c r="AK249" i="3" s="1"/>
  <c r="AL249" i="3" s="1"/>
  <c r="AF242" i="3"/>
  <c r="AG242" i="3"/>
  <c r="AH242" i="3"/>
  <c r="AJ242" i="3"/>
  <c r="AH220" i="3"/>
  <c r="AK220" i="3" s="1"/>
  <c r="AF221" i="3"/>
  <c r="AK221" i="3" s="1"/>
  <c r="AL221" i="3" s="1"/>
  <c r="AF215" i="3"/>
  <c r="AG215" i="3"/>
  <c r="AH215" i="3"/>
  <c r="AJ215" i="3"/>
  <c r="AJ194" i="3"/>
  <c r="AK194" i="3"/>
  <c r="AF197" i="3"/>
  <c r="AH197" i="3"/>
  <c r="AK191" i="3"/>
  <c r="AL191" i="3" s="1"/>
  <c r="AG185" i="3"/>
  <c r="AH185" i="3"/>
  <c r="AD179" i="3"/>
  <c r="AF179" i="3"/>
  <c r="AF174" i="3"/>
  <c r="AK174" i="3" s="1"/>
  <c r="AL174" i="3" s="1"/>
  <c r="AK165" i="3"/>
  <c r="AL165" i="3" s="1"/>
  <c r="AK164" i="3"/>
  <c r="AG143" i="3"/>
  <c r="AK143" i="3" s="1"/>
  <c r="AF160" i="3"/>
  <c r="AK160" i="3" s="1"/>
  <c r="AK156" i="3"/>
  <c r="AL156" i="3" s="1"/>
  <c r="AE136" i="3"/>
  <c r="AF136" i="3"/>
  <c r="AG136" i="3"/>
  <c r="AH136" i="3"/>
  <c r="AH142" i="3"/>
  <c r="AK142" i="3" s="1"/>
  <c r="AL142" i="3" s="1"/>
  <c r="AF138" i="3"/>
  <c r="AG138" i="3"/>
  <c r="AH138" i="3"/>
  <c r="AE137" i="3"/>
  <c r="AF137" i="3"/>
  <c r="AD126" i="3"/>
  <c r="AF126" i="3"/>
  <c r="AG126" i="3"/>
  <c r="AH126" i="3"/>
  <c r="AG97" i="3"/>
  <c r="AH97" i="3"/>
  <c r="AF48" i="3"/>
  <c r="AD48" i="3"/>
  <c r="AD46" i="3"/>
  <c r="AF46" i="3"/>
  <c r="AF37" i="3"/>
  <c r="AK37" i="3" s="1"/>
  <c r="AL37" i="3" s="1"/>
  <c r="AE302" i="3"/>
  <c r="AI302" i="3"/>
  <c r="AE280" i="3"/>
  <c r="AI280" i="3"/>
  <c r="AF292" i="3"/>
  <c r="AI292" i="3"/>
  <c r="AE245" i="3"/>
  <c r="AI245" i="3"/>
  <c r="AI134" i="3"/>
  <c r="AK134" i="3" s="1"/>
  <c r="AJ134" i="3"/>
  <c r="AE105" i="3"/>
  <c r="AI105" i="3"/>
  <c r="AF11" i="3"/>
  <c r="AG11" i="3"/>
  <c r="AH11" i="3"/>
  <c r="AI11" i="3"/>
  <c r="AC10" i="3"/>
  <c r="AK10" i="3" s="1"/>
  <c r="AL10" i="3" s="1"/>
  <c r="AK13" i="3"/>
  <c r="AL13" i="3" s="1"/>
  <c r="AK178" i="3"/>
  <c r="AL178" i="3" s="1"/>
  <c r="AK186" i="3"/>
  <c r="AL186" i="3" s="1"/>
  <c r="AK199" i="3"/>
  <c r="AL199" i="3" s="1"/>
  <c r="AK309" i="3"/>
  <c r="AK19" i="5"/>
  <c r="AL19" i="5" s="1"/>
  <c r="X19" i="5" s="1"/>
  <c r="AK20" i="5"/>
  <c r="AL20" i="5" s="1"/>
  <c r="X20" i="5" s="1"/>
  <c r="AK22" i="5"/>
  <c r="AL22" i="5" s="1"/>
  <c r="X22" i="5" s="1"/>
  <c r="AK24" i="5"/>
  <c r="AL24" i="5" s="1"/>
  <c r="X24" i="5" s="1"/>
  <c r="O8" i="4" l="1"/>
  <c r="Q8" i="4" s="1"/>
  <c r="R8" i="4" s="1"/>
  <c r="D8" i="4" s="1"/>
  <c r="O30" i="4"/>
  <c r="Q30" i="4" s="1"/>
  <c r="R30" i="4" s="1"/>
  <c r="D30" i="4" s="1"/>
  <c r="O19" i="4"/>
  <c r="Q19" i="4" s="1"/>
  <c r="R19" i="4" s="1"/>
  <c r="D19" i="4" s="1"/>
  <c r="O122" i="3"/>
  <c r="Q122" i="3" s="1"/>
  <c r="R122" i="3" s="1"/>
  <c r="D122" i="3" s="1"/>
  <c r="O207" i="3"/>
  <c r="Q207" i="3" s="1"/>
  <c r="R207" i="3" s="1"/>
  <c r="D207" i="3" s="1"/>
  <c r="O168" i="3"/>
  <c r="Q168" i="3" s="1"/>
  <c r="R168" i="3" s="1"/>
  <c r="D168" i="3" s="1"/>
  <c r="O110" i="3"/>
  <c r="Q110" i="3" s="1"/>
  <c r="R110" i="3" s="1"/>
  <c r="D110" i="3" s="1"/>
  <c r="O209" i="3"/>
  <c r="Q209" i="3" s="1"/>
  <c r="R209" i="3" s="1"/>
  <c r="D209" i="3" s="1"/>
  <c r="O211" i="3"/>
  <c r="Q211" i="3" s="1"/>
  <c r="R211" i="3" s="1"/>
  <c r="D211" i="3" s="1"/>
  <c r="O35" i="3"/>
  <c r="Q35" i="3" s="1"/>
  <c r="R35" i="3" s="1"/>
  <c r="D35" i="3" s="1"/>
  <c r="O184" i="3"/>
  <c r="Q184" i="3" s="1"/>
  <c r="R184" i="3" s="1"/>
  <c r="D184" i="3" s="1"/>
  <c r="O33" i="3"/>
  <c r="Q33" i="3" s="1"/>
  <c r="R33" i="3" s="1"/>
  <c r="D33" i="3" s="1"/>
  <c r="O241" i="3"/>
  <c r="Q241" i="3" s="1"/>
  <c r="R241" i="3" s="1"/>
  <c r="D241" i="3" s="1"/>
  <c r="O196" i="3"/>
  <c r="Q196" i="3" s="1"/>
  <c r="R196" i="3" s="1"/>
  <c r="D196" i="3" s="1"/>
  <c r="O86" i="3"/>
  <c r="Q86" i="3" s="1"/>
  <c r="R86" i="3" s="1"/>
  <c r="D86" i="3" s="1"/>
  <c r="O172" i="3"/>
  <c r="Q172" i="3" s="1"/>
  <c r="R172" i="3" s="1"/>
  <c r="D172" i="3" s="1"/>
  <c r="O16" i="3"/>
  <c r="Q16" i="3" s="1"/>
  <c r="R16" i="3" s="1"/>
  <c r="D16" i="3" s="1"/>
  <c r="O60" i="3"/>
  <c r="Q60" i="3" s="1"/>
  <c r="R60" i="3" s="1"/>
  <c r="D60" i="3" s="1"/>
  <c r="O124" i="3"/>
  <c r="Q124" i="3" s="1"/>
  <c r="R124" i="3" s="1"/>
  <c r="D124" i="3" s="1"/>
  <c r="O304" i="3"/>
  <c r="Q304" i="3" s="1"/>
  <c r="R304" i="3" s="1"/>
  <c r="D304" i="3" s="1"/>
  <c r="Z322" i="3"/>
  <c r="AA322" i="3" s="1"/>
  <c r="AA69" i="6"/>
  <c r="O69" i="6" s="1"/>
  <c r="Q69" i="6" s="1"/>
  <c r="R69" i="6" s="1"/>
  <c r="D69" i="6" s="1"/>
  <c r="Y20" i="8"/>
  <c r="Y23" i="8"/>
  <c r="Z159" i="6"/>
  <c r="Z128" i="6"/>
  <c r="Z130" i="6"/>
  <c r="Z127" i="6"/>
  <c r="Z180" i="6"/>
  <c r="Z188" i="6"/>
  <c r="Z102" i="6"/>
  <c r="Z79" i="6"/>
  <c r="Z53" i="6"/>
  <c r="Z133" i="6"/>
  <c r="Z100" i="6"/>
  <c r="Z37" i="6"/>
  <c r="Z28" i="6"/>
  <c r="Z62" i="6"/>
  <c r="Z120" i="6"/>
  <c r="Z24" i="4"/>
  <c r="AA24" i="4" s="1"/>
  <c r="Z32" i="4"/>
  <c r="AA32" i="4" s="1"/>
  <c r="Z22" i="2"/>
  <c r="AA22" i="2" s="1"/>
  <c r="Z20" i="5"/>
  <c r="AA20" i="5" s="1"/>
  <c r="O20" i="5" s="1"/>
  <c r="Q20" i="5" s="1"/>
  <c r="R20" i="5" s="1"/>
  <c r="Z24" i="5"/>
  <c r="AA24" i="5" s="1"/>
  <c r="O24" i="5" s="1"/>
  <c r="Q24" i="5" s="1"/>
  <c r="R24" i="5" s="1"/>
  <c r="Z22" i="5"/>
  <c r="AA22" i="5" s="1"/>
  <c r="O22" i="5" s="1"/>
  <c r="Q22" i="5" s="1"/>
  <c r="R22" i="5" s="1"/>
  <c r="Z19" i="5"/>
  <c r="AA19" i="5" s="1"/>
  <c r="O19" i="5" s="1"/>
  <c r="Q19" i="5" s="1"/>
  <c r="R19" i="5" s="1"/>
  <c r="Z23" i="5"/>
  <c r="AA23" i="5" s="1"/>
  <c r="O23" i="5" s="1"/>
  <c r="Q23" i="5" s="1"/>
  <c r="R23" i="5" s="1"/>
  <c r="AK195" i="6"/>
  <c r="AL195" i="6" s="1"/>
  <c r="X195" i="6" s="1"/>
  <c r="AK28" i="2"/>
  <c r="AL28" i="2" s="1"/>
  <c r="X28" i="2" s="1"/>
  <c r="AK186" i="6"/>
  <c r="AL186" i="6" s="1"/>
  <c r="X186" i="6" s="1"/>
  <c r="AK123" i="6"/>
  <c r="AL123" i="6" s="1"/>
  <c r="X123" i="6" s="1"/>
  <c r="AK200" i="6"/>
  <c r="AL200" i="6" s="1"/>
  <c r="X200" i="6" s="1"/>
  <c r="AK17" i="6"/>
  <c r="AL17" i="6" s="1"/>
  <c r="X17" i="6" s="1"/>
  <c r="AL14" i="4"/>
  <c r="X14" i="4" s="1"/>
  <c r="AK121" i="6"/>
  <c r="AL121" i="6" s="1"/>
  <c r="X121" i="6" s="1"/>
  <c r="AK82" i="6"/>
  <c r="AL82" i="6" s="1"/>
  <c r="X82" i="6" s="1"/>
  <c r="AK14" i="6"/>
  <c r="AL14" i="6" s="1"/>
  <c r="X14" i="6" s="1"/>
  <c r="AK7" i="6"/>
  <c r="AL7" i="6" s="1"/>
  <c r="X7" i="6" s="1"/>
  <c r="AK33" i="6"/>
  <c r="AL33" i="6" s="1"/>
  <c r="X33" i="6" s="1"/>
  <c r="AK9" i="6"/>
  <c r="AL9" i="6" s="1"/>
  <c r="X9" i="6" s="1"/>
  <c r="AK58" i="6"/>
  <c r="AL58" i="6" s="1"/>
  <c r="X58" i="6" s="1"/>
  <c r="AL25" i="4"/>
  <c r="X25" i="4" s="1"/>
  <c r="AL16" i="4"/>
  <c r="X16" i="4" s="1"/>
  <c r="AL8" i="4"/>
  <c r="AL134" i="3"/>
  <c r="X134" i="3" s="1"/>
  <c r="AL335" i="3"/>
  <c r="X335" i="3" s="1"/>
  <c r="Z335" i="3" s="1"/>
  <c r="AA335" i="3" s="1"/>
  <c r="AL194" i="3"/>
  <c r="X194" i="3" s="1"/>
  <c r="AL318" i="3"/>
  <c r="X318" i="3" s="1"/>
  <c r="X156" i="3"/>
  <c r="AL220" i="3"/>
  <c r="X220" i="3" s="1"/>
  <c r="AL164" i="3"/>
  <c r="X164" i="3" s="1"/>
  <c r="AL309" i="3"/>
  <c r="X309" i="3" s="1"/>
  <c r="AL143" i="3"/>
  <c r="X143" i="3" s="1"/>
  <c r="AL160" i="3"/>
  <c r="X160" i="3" s="1"/>
  <c r="X37" i="3"/>
  <c r="X249" i="3"/>
  <c r="AL291" i="3"/>
  <c r="X291" i="3" s="1"/>
  <c r="X27" i="4"/>
  <c r="AK9" i="4"/>
  <c r="AL9" i="4" s="1"/>
  <c r="X9" i="4" s="1"/>
  <c r="AK31" i="4"/>
  <c r="X26" i="4"/>
  <c r="X142" i="3"/>
  <c r="X191" i="3"/>
  <c r="X251" i="3"/>
  <c r="X165" i="3"/>
  <c r="X174" i="3"/>
  <c r="X221" i="3"/>
  <c r="AK321" i="3"/>
  <c r="AK315" i="3"/>
  <c r="AK314" i="3"/>
  <c r="AK306" i="3"/>
  <c r="AK294" i="3"/>
  <c r="AK248" i="3"/>
  <c r="AK179" i="3"/>
  <c r="AK242" i="3"/>
  <c r="AK197" i="3"/>
  <c r="AK215" i="3"/>
  <c r="AK185" i="3"/>
  <c r="AK137" i="3"/>
  <c r="AK280" i="3"/>
  <c r="AK138" i="3"/>
  <c r="AK136" i="3"/>
  <c r="AK97" i="3"/>
  <c r="AK126" i="3"/>
  <c r="AK302" i="3"/>
  <c r="AK46" i="3"/>
  <c r="AK245" i="3"/>
  <c r="AK292" i="3"/>
  <c r="AK105" i="3"/>
  <c r="X178" i="3"/>
  <c r="X199" i="3"/>
  <c r="X13" i="3"/>
  <c r="X10" i="3"/>
  <c r="X186" i="3"/>
  <c r="X237" i="1"/>
  <c r="AK11" i="3"/>
  <c r="AL11" i="3" s="1"/>
  <c r="X63" i="1"/>
  <c r="X174" i="1"/>
  <c r="O24" i="4" l="1"/>
  <c r="Q24" i="4" s="1"/>
  <c r="R24" i="4" s="1"/>
  <c r="D24" i="4" s="1"/>
  <c r="O32" i="4"/>
  <c r="Q32" i="4" s="1"/>
  <c r="R32" i="4" s="1"/>
  <c r="D32" i="4" s="1"/>
  <c r="O335" i="3"/>
  <c r="Q335" i="3" s="1"/>
  <c r="R335" i="3" s="1"/>
  <c r="D335" i="3" s="1"/>
  <c r="O322" i="3"/>
  <c r="Q322" i="3" s="1"/>
  <c r="R322" i="3" s="1"/>
  <c r="D322" i="3" s="1"/>
  <c r="O22" i="2"/>
  <c r="Q22" i="2" s="1"/>
  <c r="R22" i="2" s="1"/>
  <c r="D22" i="2" s="1"/>
  <c r="Z237" i="1"/>
  <c r="AA237" i="1" s="1"/>
  <c r="O237" i="1" s="1"/>
  <c r="Q237" i="1" s="1"/>
  <c r="R237" i="1" s="1"/>
  <c r="D237" i="1" s="1"/>
  <c r="Z63" i="1"/>
  <c r="AA63" i="1" s="1"/>
  <c r="O63" i="1" s="1"/>
  <c r="Q63" i="1" s="1"/>
  <c r="R63" i="1" s="1"/>
  <c r="D63" i="1" s="1"/>
  <c r="Z174" i="1"/>
  <c r="AA174" i="1" s="1"/>
  <c r="O174" i="1" s="1"/>
  <c r="Q174" i="1" s="1"/>
  <c r="R174" i="1" s="1"/>
  <c r="D174" i="1" s="1"/>
  <c r="Z178" i="3"/>
  <c r="AA178" i="3" s="1"/>
  <c r="Z249" i="3"/>
  <c r="AA249" i="3" s="1"/>
  <c r="Z160" i="3"/>
  <c r="AA160" i="3" s="1"/>
  <c r="Z13" i="3"/>
  <c r="AA13" i="3" s="1"/>
  <c r="Z164" i="3"/>
  <c r="AA164" i="3" s="1"/>
  <c r="Z165" i="3"/>
  <c r="AA165" i="3" s="1"/>
  <c r="Z199" i="3"/>
  <c r="AA199" i="3" s="1"/>
  <c r="Z291" i="3"/>
  <c r="AA291" i="3" s="1"/>
  <c r="Z143" i="3"/>
  <c r="AA143" i="3" s="1"/>
  <c r="Z309" i="3"/>
  <c r="AA309" i="3" s="1"/>
  <c r="Z318" i="3"/>
  <c r="AA318" i="3" s="1"/>
  <c r="Z174" i="3"/>
  <c r="AA174" i="3" s="1"/>
  <c r="Z191" i="3"/>
  <c r="AA191" i="3" s="1"/>
  <c r="Z194" i="3"/>
  <c r="AA194" i="3" s="1"/>
  <c r="Z251" i="3"/>
  <c r="AA251" i="3" s="1"/>
  <c r="Z186" i="3"/>
  <c r="AA186" i="3" s="1"/>
  <c r="Z142" i="3"/>
  <c r="AA142" i="3" s="1"/>
  <c r="Z37" i="3"/>
  <c r="AA37" i="3" s="1"/>
  <c r="Z221" i="3"/>
  <c r="AA221" i="3" s="1"/>
  <c r="Z220" i="3"/>
  <c r="AA220" i="3" s="1"/>
  <c r="Z156" i="3"/>
  <c r="AA156" i="3" s="1"/>
  <c r="Z10" i="3"/>
  <c r="AA10" i="3" s="1"/>
  <c r="Z134" i="3"/>
  <c r="AA134" i="3" s="1"/>
  <c r="Z23" i="8"/>
  <c r="N23" i="8" s="1"/>
  <c r="P23" i="8" s="1"/>
  <c r="Q23" i="8" s="1"/>
  <c r="D23" i="8" s="1"/>
  <c r="Z20" i="8"/>
  <c r="N20" i="8" s="1"/>
  <c r="P20" i="8" s="1"/>
  <c r="Q20" i="8" s="1"/>
  <c r="D20" i="8" s="1"/>
  <c r="AA79" i="6"/>
  <c r="O79" i="6" s="1"/>
  <c r="Q79" i="6" s="1"/>
  <c r="R79" i="6" s="1"/>
  <c r="D79" i="6" s="1"/>
  <c r="AA133" i="6"/>
  <c r="O133" i="6" s="1"/>
  <c r="Q133" i="6" s="1"/>
  <c r="R133" i="6" s="1"/>
  <c r="D133" i="6" s="1"/>
  <c r="AA53" i="6"/>
  <c r="O53" i="6" s="1"/>
  <c r="Q53" i="6" s="1"/>
  <c r="R53" i="6" s="1"/>
  <c r="D53" i="6" s="1"/>
  <c r="AA102" i="6"/>
  <c r="O102" i="6" s="1"/>
  <c r="Q102" i="6" s="1"/>
  <c r="R102" i="6" s="1"/>
  <c r="D102" i="6" s="1"/>
  <c r="AA128" i="6"/>
  <c r="O128" i="6" s="1"/>
  <c r="Q128" i="6" s="1"/>
  <c r="R128" i="6" s="1"/>
  <c r="D128" i="6" s="1"/>
  <c r="AA62" i="6"/>
  <c r="O62" i="6" s="1"/>
  <c r="Q62" i="6" s="1"/>
  <c r="R62" i="6" s="1"/>
  <c r="D62" i="6" s="1"/>
  <c r="AA100" i="6"/>
  <c r="O100" i="6" s="1"/>
  <c r="Q100" i="6" s="1"/>
  <c r="R100" i="6" s="1"/>
  <c r="D100" i="6" s="1"/>
  <c r="AA180" i="6"/>
  <c r="O180" i="6" s="1"/>
  <c r="Q180" i="6" s="1"/>
  <c r="R180" i="6" s="1"/>
  <c r="D180" i="6" s="1"/>
  <c r="AA127" i="6"/>
  <c r="O127" i="6" s="1"/>
  <c r="Q127" i="6" s="1"/>
  <c r="R127" i="6" s="1"/>
  <c r="D127" i="6" s="1"/>
  <c r="AA159" i="6"/>
  <c r="O159" i="6" s="1"/>
  <c r="Q159" i="6" s="1"/>
  <c r="R159" i="6" s="1"/>
  <c r="D159" i="6" s="1"/>
  <c r="AA28" i="6"/>
  <c r="O28" i="6" s="1"/>
  <c r="Q28" i="6" s="1"/>
  <c r="R28" i="6" s="1"/>
  <c r="D28" i="6" s="1"/>
  <c r="AA188" i="6"/>
  <c r="O188" i="6" s="1"/>
  <c r="Q188" i="6" s="1"/>
  <c r="R188" i="6" s="1"/>
  <c r="D188" i="6" s="1"/>
  <c r="AA130" i="6"/>
  <c r="O130" i="6" s="1"/>
  <c r="Q130" i="6" s="1"/>
  <c r="R130" i="6" s="1"/>
  <c r="D130" i="6" s="1"/>
  <c r="AA120" i="6"/>
  <c r="O120" i="6" s="1"/>
  <c r="Q120" i="6" s="1"/>
  <c r="R120" i="6" s="1"/>
  <c r="D120" i="6" s="1"/>
  <c r="AA37" i="6"/>
  <c r="O37" i="6" s="1"/>
  <c r="Q37" i="6" s="1"/>
  <c r="R37" i="6" s="1"/>
  <c r="D37" i="6" s="1"/>
  <c r="Z33" i="6"/>
  <c r="Z7" i="6"/>
  <c r="Z123" i="6"/>
  <c r="Z186" i="6"/>
  <c r="Z14" i="6"/>
  <c r="Z82" i="6"/>
  <c r="Z121" i="6"/>
  <c r="Z17" i="6"/>
  <c r="Z200" i="6"/>
  <c r="Z195" i="6"/>
  <c r="Z58" i="6"/>
  <c r="Z9" i="6"/>
  <c r="Z25" i="4"/>
  <c r="AA25" i="4" s="1"/>
  <c r="Z14" i="4"/>
  <c r="AA14" i="4" s="1"/>
  <c r="Z16" i="4"/>
  <c r="AA16" i="4" s="1"/>
  <c r="Z26" i="4"/>
  <c r="AA26" i="4" s="1"/>
  <c r="Z9" i="4"/>
  <c r="AA9" i="4" s="1"/>
  <c r="Z27" i="4"/>
  <c r="AA27" i="4" s="1"/>
  <c r="Z28" i="2"/>
  <c r="AA28" i="2" s="1"/>
  <c r="AL31" i="4"/>
  <c r="X31" i="4" s="1"/>
  <c r="AL137" i="3"/>
  <c r="X137" i="3" s="1"/>
  <c r="AL215" i="3"/>
  <c r="X215" i="3" s="1"/>
  <c r="AL197" i="3"/>
  <c r="X197" i="3" s="1"/>
  <c r="AL105" i="3"/>
  <c r="X105" i="3" s="1"/>
  <c r="AL242" i="3"/>
  <c r="X242" i="3" s="1"/>
  <c r="AL292" i="3"/>
  <c r="X292" i="3" s="1"/>
  <c r="AL245" i="3"/>
  <c r="X245" i="3" s="1"/>
  <c r="AL248" i="3"/>
  <c r="X248" i="3" s="1"/>
  <c r="AL294" i="3"/>
  <c r="X294" i="3" s="1"/>
  <c r="AL185" i="3"/>
  <c r="X185" i="3" s="1"/>
  <c r="AL179" i="3"/>
  <c r="X179" i="3" s="1"/>
  <c r="AL46" i="3"/>
  <c r="X46" i="3" s="1"/>
  <c r="AL306" i="3"/>
  <c r="X306" i="3" s="1"/>
  <c r="AL302" i="3"/>
  <c r="X302" i="3" s="1"/>
  <c r="AL314" i="3"/>
  <c r="X314" i="3" s="1"/>
  <c r="AL126" i="3"/>
  <c r="X126" i="3" s="1"/>
  <c r="AL315" i="3"/>
  <c r="X315" i="3" s="1"/>
  <c r="AL97" i="3"/>
  <c r="X97" i="3" s="1"/>
  <c r="AL138" i="3"/>
  <c r="X138" i="3" s="1"/>
  <c r="AL321" i="3"/>
  <c r="X321" i="3" s="1"/>
  <c r="AL136" i="3"/>
  <c r="X136" i="3" s="1"/>
  <c r="AL280" i="3"/>
  <c r="X280" i="3" s="1"/>
  <c r="X11" i="3"/>
  <c r="O16" i="4" l="1"/>
  <c r="Q16" i="4" s="1"/>
  <c r="R16" i="4" s="1"/>
  <c r="D16" i="4" s="1"/>
  <c r="O27" i="4"/>
  <c r="Q27" i="4" s="1"/>
  <c r="R27" i="4" s="1"/>
  <c r="D27" i="4" s="1"/>
  <c r="O26" i="4"/>
  <c r="Q26" i="4" s="1"/>
  <c r="R26" i="4" s="1"/>
  <c r="D26" i="4" s="1"/>
  <c r="O14" i="4"/>
  <c r="Q14" i="4" s="1"/>
  <c r="R14" i="4" s="1"/>
  <c r="D14" i="4" s="1"/>
  <c r="O9" i="4"/>
  <c r="Q9" i="4" s="1"/>
  <c r="R9" i="4" s="1"/>
  <c r="D9" i="4" s="1"/>
  <c r="O25" i="4"/>
  <c r="Q25" i="4" s="1"/>
  <c r="R25" i="4" s="1"/>
  <c r="D25" i="4" s="1"/>
  <c r="O37" i="3"/>
  <c r="Q37" i="3" s="1"/>
  <c r="R37" i="3" s="1"/>
  <c r="D37" i="3" s="1"/>
  <c r="O186" i="3"/>
  <c r="Q186" i="3" s="1"/>
  <c r="R186" i="3" s="1"/>
  <c r="D186" i="3" s="1"/>
  <c r="O318" i="3"/>
  <c r="Q318" i="3" s="1"/>
  <c r="R318" i="3" s="1"/>
  <c r="D318" i="3" s="1"/>
  <c r="O309" i="3"/>
  <c r="Q309" i="3" s="1"/>
  <c r="R309" i="3" s="1"/>
  <c r="D309" i="3" s="1"/>
  <c r="O10" i="3"/>
  <c r="Q10" i="3" s="1"/>
  <c r="R10" i="3" s="1"/>
  <c r="D10" i="3" s="1"/>
  <c r="O199" i="3"/>
  <c r="Q199" i="3" s="1"/>
  <c r="R199" i="3" s="1"/>
  <c r="D199" i="3" s="1"/>
  <c r="O249" i="3"/>
  <c r="Q249" i="3" s="1"/>
  <c r="R249" i="3" s="1"/>
  <c r="D249" i="3" s="1"/>
  <c r="O194" i="3"/>
  <c r="Q194" i="3" s="1"/>
  <c r="R194" i="3" s="1"/>
  <c r="D194" i="3" s="1"/>
  <c r="O174" i="3"/>
  <c r="Q174" i="3" s="1"/>
  <c r="R174" i="3" s="1"/>
  <c r="D174" i="3" s="1"/>
  <c r="O143" i="3"/>
  <c r="Q143" i="3" s="1"/>
  <c r="R143" i="3" s="1"/>
  <c r="D143" i="3" s="1"/>
  <c r="O291" i="3"/>
  <c r="Q291" i="3" s="1"/>
  <c r="R291" i="3" s="1"/>
  <c r="D291" i="3" s="1"/>
  <c r="O156" i="3"/>
  <c r="Q156" i="3" s="1"/>
  <c r="R156" i="3" s="1"/>
  <c r="D156" i="3" s="1"/>
  <c r="O165" i="3"/>
  <c r="Q165" i="3" s="1"/>
  <c r="R165" i="3" s="1"/>
  <c r="D165" i="3" s="1"/>
  <c r="O160" i="3"/>
  <c r="Q160" i="3" s="1"/>
  <c r="R160" i="3" s="1"/>
  <c r="D160" i="3" s="1"/>
  <c r="O142" i="3"/>
  <c r="Q142" i="3" s="1"/>
  <c r="R142" i="3" s="1"/>
  <c r="D142" i="3" s="1"/>
  <c r="O251" i="3"/>
  <c r="Q251" i="3" s="1"/>
  <c r="R251" i="3" s="1"/>
  <c r="D251" i="3" s="1"/>
  <c r="O220" i="3"/>
  <c r="Q220" i="3" s="1"/>
  <c r="R220" i="3" s="1"/>
  <c r="D220" i="3" s="1"/>
  <c r="O164" i="3"/>
  <c r="Q164" i="3" s="1"/>
  <c r="R164" i="3" s="1"/>
  <c r="D164" i="3" s="1"/>
  <c r="O178" i="3"/>
  <c r="Q178" i="3" s="1"/>
  <c r="R178" i="3" s="1"/>
  <c r="D178" i="3" s="1"/>
  <c r="O191" i="3"/>
  <c r="Q191" i="3" s="1"/>
  <c r="R191" i="3" s="1"/>
  <c r="D191" i="3" s="1"/>
  <c r="O134" i="3"/>
  <c r="Q134" i="3" s="1"/>
  <c r="R134" i="3" s="1"/>
  <c r="D134" i="3" s="1"/>
  <c r="O221" i="3"/>
  <c r="Q221" i="3" s="1"/>
  <c r="R221" i="3" s="1"/>
  <c r="D221" i="3" s="1"/>
  <c r="O13" i="3"/>
  <c r="Q13" i="3" s="1"/>
  <c r="R13" i="3" s="1"/>
  <c r="D13" i="3" s="1"/>
  <c r="O28" i="2"/>
  <c r="Q28" i="2" s="1"/>
  <c r="R28" i="2" s="1"/>
  <c r="D28" i="2" s="1"/>
  <c r="Z11" i="3"/>
  <c r="AA11" i="3" s="1"/>
  <c r="Z105" i="3"/>
  <c r="AA105" i="3" s="1"/>
  <c r="Z197" i="3"/>
  <c r="AA197" i="3" s="1"/>
  <c r="Z97" i="3"/>
  <c r="AA97" i="3" s="1"/>
  <c r="Z315" i="3"/>
  <c r="AA315" i="3" s="1"/>
  <c r="Z314" i="3"/>
  <c r="AA314" i="3" s="1"/>
  <c r="Z185" i="3"/>
  <c r="AA185" i="3" s="1"/>
  <c r="Z245" i="3"/>
  <c r="AA245" i="3" s="1"/>
  <c r="Z280" i="3"/>
  <c r="AA280" i="3" s="1"/>
  <c r="Z306" i="3"/>
  <c r="AA306" i="3" s="1"/>
  <c r="Z292" i="3"/>
  <c r="AA292" i="3" s="1"/>
  <c r="Z136" i="3"/>
  <c r="AA136" i="3" s="1"/>
  <c r="Z215" i="3"/>
  <c r="AA215" i="3" s="1"/>
  <c r="Z302" i="3"/>
  <c r="AA302" i="3" s="1"/>
  <c r="Z46" i="3"/>
  <c r="AA46" i="3" s="1"/>
  <c r="Z294" i="3"/>
  <c r="AA294" i="3" s="1"/>
  <c r="Z248" i="3"/>
  <c r="AA248" i="3" s="1"/>
  <c r="Z242" i="3"/>
  <c r="AA242" i="3" s="1"/>
  <c r="Z321" i="3"/>
  <c r="AA321" i="3" s="1"/>
  <c r="Z138" i="3"/>
  <c r="AA138" i="3" s="1"/>
  <c r="Z137" i="3"/>
  <c r="AA137" i="3" s="1"/>
  <c r="Z126" i="3"/>
  <c r="AA126" i="3" s="1"/>
  <c r="Z179" i="3"/>
  <c r="AA179" i="3" s="1"/>
  <c r="AA33" i="6"/>
  <c r="O33" i="6" s="1"/>
  <c r="Q33" i="6" s="1"/>
  <c r="R33" i="6" s="1"/>
  <c r="D33" i="6" s="1"/>
  <c r="AA58" i="6"/>
  <c r="O58" i="6" s="1"/>
  <c r="Q58" i="6" s="1"/>
  <c r="R58" i="6" s="1"/>
  <c r="D58" i="6" s="1"/>
  <c r="AA195" i="6"/>
  <c r="O195" i="6" s="1"/>
  <c r="Q195" i="6" s="1"/>
  <c r="R195" i="6" s="1"/>
  <c r="D195" i="6" s="1"/>
  <c r="AA121" i="6"/>
  <c r="O121" i="6" s="1"/>
  <c r="Q121" i="6" s="1"/>
  <c r="R121" i="6" s="1"/>
  <c r="D121" i="6" s="1"/>
  <c r="AA82" i="6"/>
  <c r="O82" i="6" s="1"/>
  <c r="Q82" i="6" s="1"/>
  <c r="R82" i="6" s="1"/>
  <c r="D82" i="6" s="1"/>
  <c r="AA14" i="6"/>
  <c r="O14" i="6" s="1"/>
  <c r="Q14" i="6" s="1"/>
  <c r="R14" i="6" s="1"/>
  <c r="D14" i="6" s="1"/>
  <c r="AA7" i="6"/>
  <c r="O7" i="6" s="1"/>
  <c r="Q7" i="6" s="1"/>
  <c r="R7" i="6" s="1"/>
  <c r="D7" i="6" s="1"/>
  <c r="AA200" i="6"/>
  <c r="O200" i="6" s="1"/>
  <c r="Q200" i="6" s="1"/>
  <c r="R200" i="6" s="1"/>
  <c r="D200" i="6" s="1"/>
  <c r="AA186" i="6"/>
  <c r="O186" i="6" s="1"/>
  <c r="Q186" i="6" s="1"/>
  <c r="R186" i="6" s="1"/>
  <c r="D186" i="6" s="1"/>
  <c r="AA9" i="6"/>
  <c r="O9" i="6" s="1"/>
  <c r="Q9" i="6" s="1"/>
  <c r="R9" i="6" s="1"/>
  <c r="D9" i="6" s="1"/>
  <c r="AA17" i="6"/>
  <c r="O17" i="6" s="1"/>
  <c r="Q17" i="6" s="1"/>
  <c r="R17" i="6" s="1"/>
  <c r="D17" i="6" s="1"/>
  <c r="AA123" i="6"/>
  <c r="O123" i="6" s="1"/>
  <c r="Q123" i="6" s="1"/>
  <c r="R123" i="6" s="1"/>
  <c r="D123" i="6" s="1"/>
  <c r="Z31" i="4"/>
  <c r="AA31" i="4" s="1"/>
  <c r="AF245" i="1"/>
  <c r="AH245" i="1"/>
  <c r="AG26" i="1"/>
  <c r="AH26" i="1"/>
  <c r="AH32" i="2"/>
  <c r="AG32" i="2"/>
  <c r="AF32" i="2"/>
  <c r="AC32" i="2"/>
  <c r="AJ25" i="1"/>
  <c r="AH25" i="1"/>
  <c r="AG25" i="1"/>
  <c r="AF25" i="1"/>
  <c r="AE25" i="1"/>
  <c r="AC25" i="1"/>
  <c r="AH217" i="1"/>
  <c r="AK217" i="1" s="1"/>
  <c r="AL217" i="1" s="1"/>
  <c r="AE29" i="2"/>
  <c r="AK29" i="2" s="1"/>
  <c r="AL29" i="2" s="1"/>
  <c r="X29" i="2" s="1"/>
  <c r="AF206" i="1"/>
  <c r="AK206" i="1" s="1"/>
  <c r="AL206" i="1" s="1"/>
  <c r="AE205" i="1"/>
  <c r="AF205" i="1"/>
  <c r="AG183" i="1"/>
  <c r="AK183" i="1" s="1"/>
  <c r="AL183" i="1" s="1"/>
  <c r="AF165" i="1"/>
  <c r="AK165" i="1" s="1"/>
  <c r="AL165" i="1" s="1"/>
  <c r="AE106" i="1"/>
  <c r="AF106" i="1"/>
  <c r="AC13" i="1"/>
  <c r="AE13" i="1"/>
  <c r="AF13" i="1"/>
  <c r="AG13" i="1"/>
  <c r="AH13" i="1"/>
  <c r="AJ13" i="1"/>
  <c r="AC11" i="1"/>
  <c r="AE11" i="1"/>
  <c r="AF11" i="1"/>
  <c r="AG11" i="1"/>
  <c r="AH11" i="1"/>
  <c r="AJ11" i="1"/>
  <c r="AE97" i="1"/>
  <c r="AK97" i="1" s="1"/>
  <c r="AL97" i="1" s="1"/>
  <c r="AE91" i="1"/>
  <c r="AK91" i="1" s="1"/>
  <c r="AL91" i="1" s="1"/>
  <c r="AH84" i="1"/>
  <c r="AK84" i="1" s="1"/>
  <c r="AL84" i="1" s="1"/>
  <c r="AF67" i="1"/>
  <c r="AK67" i="1" s="1"/>
  <c r="AL67" i="1" s="1"/>
  <c r="AG8" i="1"/>
  <c r="AH8" i="1"/>
  <c r="AG41" i="1"/>
  <c r="AK41" i="1" s="1"/>
  <c r="AL41" i="1" s="1"/>
  <c r="AE42" i="1"/>
  <c r="AK42" i="1" s="1"/>
  <c r="AL42" i="1" s="1"/>
  <c r="AF35" i="1"/>
  <c r="AK35" i="1" s="1"/>
  <c r="AL35" i="1" s="1"/>
  <c r="AJ59" i="3"/>
  <c r="AJ40" i="3"/>
  <c r="AJ155" i="3"/>
  <c r="AJ112" i="3"/>
  <c r="AJ14" i="3"/>
  <c r="AJ7" i="3"/>
  <c r="AJ17" i="3"/>
  <c r="AJ121" i="3"/>
  <c r="AH170" i="6"/>
  <c r="AK170" i="6" s="1"/>
  <c r="AL170" i="6" s="1"/>
  <c r="X170" i="6" s="1"/>
  <c r="AH35" i="6"/>
  <c r="AK35" i="6" s="1"/>
  <c r="AL35" i="6" s="1"/>
  <c r="X35" i="6" s="1"/>
  <c r="AH160" i="6"/>
  <c r="AH13" i="6"/>
  <c r="AH10" i="6"/>
  <c r="AH74" i="1"/>
  <c r="AH100" i="1"/>
  <c r="AK100" i="1" s="1"/>
  <c r="AL100" i="1" s="1"/>
  <c r="AH170" i="1"/>
  <c r="AK170" i="1" s="1"/>
  <c r="AL170" i="1" s="1"/>
  <c r="AH161" i="1"/>
  <c r="AH171" i="1"/>
  <c r="AH24" i="2"/>
  <c r="AH24" i="1"/>
  <c r="AH19" i="1"/>
  <c r="AH153" i="6"/>
  <c r="AK153" i="6" s="1"/>
  <c r="AL153" i="6" s="1"/>
  <c r="X153" i="6" s="1"/>
  <c r="AH63" i="3"/>
  <c r="AI63" i="3"/>
  <c r="AI177" i="6"/>
  <c r="AI173" i="6"/>
  <c r="AI41" i="6"/>
  <c r="AI138" i="6"/>
  <c r="AI86" i="6"/>
  <c r="AH177" i="6"/>
  <c r="AH86" i="6"/>
  <c r="AH173" i="6"/>
  <c r="AH41" i="6"/>
  <c r="AH138" i="6"/>
  <c r="AH14" i="3"/>
  <c r="AH7" i="3"/>
  <c r="AH17" i="3"/>
  <c r="AH27" i="3"/>
  <c r="AG70" i="1"/>
  <c r="AH70" i="1"/>
  <c r="AH73" i="1"/>
  <c r="AI160" i="6"/>
  <c r="AH15" i="6"/>
  <c r="AH6" i="6"/>
  <c r="AH48" i="3"/>
  <c r="AH30" i="1"/>
  <c r="AH183" i="6"/>
  <c r="AH29" i="6"/>
  <c r="AK29" i="6" s="1"/>
  <c r="AL29" i="6" s="1"/>
  <c r="X29" i="6" s="1"/>
  <c r="AH258" i="3"/>
  <c r="AH51" i="3"/>
  <c r="AH112" i="3"/>
  <c r="AH155" i="3"/>
  <c r="AH40" i="3"/>
  <c r="AH104" i="3"/>
  <c r="AH59" i="3"/>
  <c r="AH157" i="3"/>
  <c r="AH58" i="3"/>
  <c r="AH121" i="3"/>
  <c r="AI121" i="3"/>
  <c r="AH146" i="3"/>
  <c r="AH212" i="3"/>
  <c r="AH275" i="3"/>
  <c r="AH47" i="3"/>
  <c r="AH9" i="2"/>
  <c r="AH8" i="2"/>
  <c r="AH20" i="2"/>
  <c r="AH28" i="1"/>
  <c r="O31" i="4" l="1"/>
  <c r="Q31" i="4" s="1"/>
  <c r="R31" i="4" s="1"/>
  <c r="D31" i="4" s="1"/>
  <c r="O136" i="3"/>
  <c r="Q136" i="3" s="1"/>
  <c r="R136" i="3" s="1"/>
  <c r="D136" i="3" s="1"/>
  <c r="O294" i="3"/>
  <c r="Q294" i="3" s="1"/>
  <c r="R294" i="3" s="1"/>
  <c r="D294" i="3" s="1"/>
  <c r="O248" i="3"/>
  <c r="Q248" i="3" s="1"/>
  <c r="R248" i="3" s="1"/>
  <c r="D248" i="3" s="1"/>
  <c r="O46" i="3"/>
  <c r="Q46" i="3" s="1"/>
  <c r="R46" i="3" s="1"/>
  <c r="D46" i="3" s="1"/>
  <c r="O306" i="3"/>
  <c r="Q306" i="3" s="1"/>
  <c r="R306" i="3" s="1"/>
  <c r="D306" i="3" s="1"/>
  <c r="O245" i="3"/>
  <c r="Q245" i="3" s="1"/>
  <c r="R245" i="3" s="1"/>
  <c r="D245" i="3" s="1"/>
  <c r="O185" i="3"/>
  <c r="Q185" i="3" s="1"/>
  <c r="R185" i="3" s="1"/>
  <c r="D185" i="3" s="1"/>
  <c r="O138" i="3"/>
  <c r="Q138" i="3" s="1"/>
  <c r="R138" i="3" s="1"/>
  <c r="D138" i="3" s="1"/>
  <c r="O97" i="3"/>
  <c r="Q97" i="3" s="1"/>
  <c r="R97" i="3" s="1"/>
  <c r="D97" i="3" s="1"/>
  <c r="O11" i="3"/>
  <c r="Q11" i="3" s="1"/>
  <c r="R11" i="3" s="1"/>
  <c r="D11" i="3" s="1"/>
  <c r="O302" i="3"/>
  <c r="Q302" i="3" s="1"/>
  <c r="R302" i="3" s="1"/>
  <c r="D302" i="3" s="1"/>
  <c r="O215" i="3"/>
  <c r="Q215" i="3" s="1"/>
  <c r="R215" i="3" s="1"/>
  <c r="D215" i="3" s="1"/>
  <c r="O280" i="3"/>
  <c r="Q280" i="3" s="1"/>
  <c r="R280" i="3" s="1"/>
  <c r="D280" i="3" s="1"/>
  <c r="O126" i="3"/>
  <c r="Q126" i="3" s="1"/>
  <c r="R126" i="3" s="1"/>
  <c r="D126" i="3" s="1"/>
  <c r="O315" i="3"/>
  <c r="Q315" i="3" s="1"/>
  <c r="R315" i="3" s="1"/>
  <c r="D315" i="3" s="1"/>
  <c r="O321" i="3"/>
  <c r="Q321" i="3" s="1"/>
  <c r="R321" i="3" s="1"/>
  <c r="D321" i="3" s="1"/>
  <c r="O197" i="3"/>
  <c r="Q197" i="3" s="1"/>
  <c r="R197" i="3" s="1"/>
  <c r="D197" i="3" s="1"/>
  <c r="O292" i="3"/>
  <c r="Q292" i="3" s="1"/>
  <c r="R292" i="3" s="1"/>
  <c r="D292" i="3" s="1"/>
  <c r="O179" i="3"/>
  <c r="Q179" i="3" s="1"/>
  <c r="R179" i="3" s="1"/>
  <c r="D179" i="3" s="1"/>
  <c r="O314" i="3"/>
  <c r="Q314" i="3" s="1"/>
  <c r="R314" i="3" s="1"/>
  <c r="D314" i="3" s="1"/>
  <c r="O137" i="3"/>
  <c r="Q137" i="3" s="1"/>
  <c r="R137" i="3" s="1"/>
  <c r="D137" i="3" s="1"/>
  <c r="O242" i="3"/>
  <c r="Q242" i="3" s="1"/>
  <c r="R242" i="3" s="1"/>
  <c r="D242" i="3" s="1"/>
  <c r="O105" i="3"/>
  <c r="Q105" i="3" s="1"/>
  <c r="R105" i="3" s="1"/>
  <c r="D105" i="3" s="1"/>
  <c r="AK8" i="1"/>
  <c r="AL8" i="1" s="1"/>
  <c r="AK13" i="1"/>
  <c r="AL13" i="1" s="1"/>
  <c r="AK26" i="1"/>
  <c r="AL26" i="1" s="1"/>
  <c r="AK11" i="1"/>
  <c r="AL11" i="1" s="1"/>
  <c r="AK25" i="1"/>
  <c r="AL25" i="1" s="1"/>
  <c r="AK106" i="1"/>
  <c r="AL106" i="1" s="1"/>
  <c r="AK205" i="1"/>
  <c r="AL205" i="1" s="1"/>
  <c r="AK245" i="1"/>
  <c r="AL245" i="1" s="1"/>
  <c r="Z153" i="6"/>
  <c r="Z35" i="6"/>
  <c r="Z29" i="6"/>
  <c r="Z170" i="6"/>
  <c r="Z29" i="2"/>
  <c r="AA29" i="2" s="1"/>
  <c r="AK86" i="6"/>
  <c r="AL86" i="6" s="1"/>
  <c r="X86" i="6" s="1"/>
  <c r="AK138" i="6"/>
  <c r="AL138" i="6" s="1"/>
  <c r="X138" i="6" s="1"/>
  <c r="AK173" i="6"/>
  <c r="AL173" i="6" s="1"/>
  <c r="X173" i="6" s="1"/>
  <c r="AK160" i="6"/>
  <c r="AL160" i="6" s="1"/>
  <c r="X160" i="6" s="1"/>
  <c r="AK41" i="6"/>
  <c r="AL41" i="6" s="1"/>
  <c r="X41" i="6" s="1"/>
  <c r="AK177" i="6"/>
  <c r="AL177" i="6" s="1"/>
  <c r="X177" i="6" s="1"/>
  <c r="X170" i="1"/>
  <c r="X100" i="1"/>
  <c r="AK63" i="3"/>
  <c r="AL63" i="3" s="1"/>
  <c r="AK27" i="3"/>
  <c r="AL27" i="3" s="1"/>
  <c r="AK212" i="3"/>
  <c r="AL212" i="3" s="1"/>
  <c r="AK40" i="3"/>
  <c r="AL40" i="3" s="1"/>
  <c r="AK104" i="3"/>
  <c r="AL104" i="3" s="1"/>
  <c r="AK155" i="3"/>
  <c r="AL155" i="3" s="1"/>
  <c r="AK58" i="3"/>
  <c r="AL58" i="3" s="1"/>
  <c r="AK157" i="3"/>
  <c r="AL157" i="3" s="1"/>
  <c r="AK121" i="3"/>
  <c r="AL121" i="3" s="1"/>
  <c r="AK47" i="3"/>
  <c r="AL47" i="3" s="1"/>
  <c r="AK32" i="2"/>
  <c r="AL32" i="2" s="1"/>
  <c r="X32" i="2" s="1"/>
  <c r="AK8" i="2"/>
  <c r="AL8" i="2" s="1"/>
  <c r="X8" i="2" s="1"/>
  <c r="O29" i="2" l="1"/>
  <c r="Q29" i="2" s="1"/>
  <c r="R29" i="2" s="1"/>
  <c r="D29" i="2" s="1"/>
  <c r="Z100" i="1"/>
  <c r="AA100" i="1" s="1"/>
  <c r="O100" i="1" s="1"/>
  <c r="Q100" i="1" s="1"/>
  <c r="R100" i="1" s="1"/>
  <c r="D100" i="1" s="1"/>
  <c r="Z170" i="1"/>
  <c r="AA170" i="1" s="1"/>
  <c r="O170" i="1" s="1"/>
  <c r="Q170" i="1" s="1"/>
  <c r="R170" i="1" s="1"/>
  <c r="D170" i="1" s="1"/>
  <c r="AA29" i="6"/>
  <c r="O29" i="6" s="1"/>
  <c r="Q29" i="6" s="1"/>
  <c r="R29" i="6" s="1"/>
  <c r="D29" i="6" s="1"/>
  <c r="AA35" i="6"/>
  <c r="O35" i="6" s="1"/>
  <c r="Q35" i="6" s="1"/>
  <c r="R35" i="6" s="1"/>
  <c r="D35" i="6" s="1"/>
  <c r="AA170" i="6"/>
  <c r="O170" i="6" s="1"/>
  <c r="Q170" i="6" s="1"/>
  <c r="R170" i="6" s="1"/>
  <c r="D170" i="6" s="1"/>
  <c r="AA153" i="6"/>
  <c r="O153" i="6" s="1"/>
  <c r="Q153" i="6" s="1"/>
  <c r="R153" i="6" s="1"/>
  <c r="D153" i="6" s="1"/>
  <c r="Z177" i="6"/>
  <c r="Z160" i="6"/>
  <c r="Z138" i="6"/>
  <c r="Z41" i="6"/>
  <c r="Z173" i="6"/>
  <c r="Z86" i="6"/>
  <c r="Z8" i="2"/>
  <c r="AA8" i="2" s="1"/>
  <c r="Z32" i="2"/>
  <c r="AA32" i="2" s="1"/>
  <c r="X58" i="3"/>
  <c r="X63" i="3"/>
  <c r="X40" i="3"/>
  <c r="X104" i="3"/>
  <c r="X155" i="3"/>
  <c r="X212" i="3"/>
  <c r="X27" i="3"/>
  <c r="Z27" i="3" s="1"/>
  <c r="AA27" i="3" s="1"/>
  <c r="X47" i="3"/>
  <c r="X121" i="3"/>
  <c r="X157" i="3"/>
  <c r="X245" i="1"/>
  <c r="X91" i="1"/>
  <c r="X205" i="1"/>
  <c r="X217" i="1"/>
  <c r="X35" i="1"/>
  <c r="X183" i="1"/>
  <c r="X11" i="1"/>
  <c r="X42" i="1"/>
  <c r="X206" i="1"/>
  <c r="X97" i="1"/>
  <c r="X25" i="1"/>
  <c r="X26" i="1"/>
  <c r="X13" i="1"/>
  <c r="X41" i="1"/>
  <c r="X8" i="1"/>
  <c r="X84" i="1"/>
  <c r="X67" i="1"/>
  <c r="X106" i="1"/>
  <c r="X165" i="1"/>
  <c r="AH144" i="1"/>
  <c r="AH14" i="1"/>
  <c r="AK14" i="1" s="1"/>
  <c r="AL14" i="1" s="1"/>
  <c r="AH34" i="1"/>
  <c r="AH146" i="1"/>
  <c r="AK146" i="1" s="1"/>
  <c r="AL146" i="1" s="1"/>
  <c r="AH139" i="1"/>
  <c r="AH252" i="1"/>
  <c r="AH38" i="1"/>
  <c r="AK38" i="1" s="1"/>
  <c r="AL38" i="1" s="1"/>
  <c r="AH128" i="1"/>
  <c r="AH98" i="1"/>
  <c r="AH181" i="1"/>
  <c r="AK181" i="1" s="1"/>
  <c r="AL181" i="1" s="1"/>
  <c r="AH156" i="1"/>
  <c r="AK156" i="1" s="1"/>
  <c r="AL156" i="1" s="1"/>
  <c r="AH76" i="1"/>
  <c r="AK76" i="1" s="1"/>
  <c r="AL76" i="1" s="1"/>
  <c r="AH56" i="1"/>
  <c r="AK56" i="1" s="1"/>
  <c r="AL56" i="1" s="1"/>
  <c r="AH169" i="1"/>
  <c r="AK169" i="1" s="1"/>
  <c r="AL169" i="1" s="1"/>
  <c r="AH36" i="1"/>
  <c r="AK36" i="1" s="1"/>
  <c r="AL36" i="1" s="1"/>
  <c r="AH239" i="1"/>
  <c r="AH57" i="1"/>
  <c r="AK57" i="1" s="1"/>
  <c r="AL57" i="1" s="1"/>
  <c r="AH256" i="1"/>
  <c r="AK256" i="1" s="1"/>
  <c r="AL256" i="1" s="1"/>
  <c r="AH20" i="1"/>
  <c r="AH49" i="1"/>
  <c r="AH243" i="1"/>
  <c r="AK243" i="1" s="1"/>
  <c r="AL243" i="1" s="1"/>
  <c r="AH116" i="1"/>
  <c r="AK116" i="1" s="1"/>
  <c r="AL116" i="1" s="1"/>
  <c r="AH145" i="1"/>
  <c r="AH29" i="1"/>
  <c r="AH12" i="5"/>
  <c r="AH25" i="5"/>
  <c r="AH18" i="5"/>
  <c r="AG35" i="2"/>
  <c r="AG48" i="3"/>
  <c r="AG113" i="1"/>
  <c r="AK113" i="1" s="1"/>
  <c r="AL113" i="1" s="1"/>
  <c r="AG6" i="1"/>
  <c r="AG30" i="1"/>
  <c r="AG7" i="3"/>
  <c r="AG17" i="3"/>
  <c r="AG14" i="3"/>
  <c r="O27" i="3" l="1"/>
  <c r="Q27" i="3" s="1"/>
  <c r="R27" i="3" s="1"/>
  <c r="D27" i="3" s="1"/>
  <c r="O8" i="2"/>
  <c r="Q8" i="2" s="1"/>
  <c r="R8" i="2" s="1"/>
  <c r="D8" i="2" s="1"/>
  <c r="O32" i="2"/>
  <c r="Q32" i="2" s="1"/>
  <c r="R32" i="2" s="1"/>
  <c r="D32" i="2" s="1"/>
  <c r="Z67" i="1"/>
  <c r="AA67" i="1" s="1"/>
  <c r="O67" i="1" s="1"/>
  <c r="Q67" i="1" s="1"/>
  <c r="R67" i="1" s="1"/>
  <c r="D67" i="1" s="1"/>
  <c r="Z91" i="1"/>
  <c r="AA91" i="1" s="1"/>
  <c r="O91" i="1" s="1"/>
  <c r="Q91" i="1" s="1"/>
  <c r="R91" i="1" s="1"/>
  <c r="D91" i="1" s="1"/>
  <c r="Z13" i="1"/>
  <c r="AA13" i="1" s="1"/>
  <c r="O13" i="1" s="1"/>
  <c r="Q13" i="1" s="1"/>
  <c r="R13" i="1" s="1"/>
  <c r="D13" i="1" s="1"/>
  <c r="Z26" i="1"/>
  <c r="AA26" i="1" s="1"/>
  <c r="O26" i="1" s="1"/>
  <c r="Q26" i="1" s="1"/>
  <c r="R26" i="1" s="1"/>
  <c r="D26" i="1" s="1"/>
  <c r="Z97" i="1"/>
  <c r="AA97" i="1" s="1"/>
  <c r="O97" i="1" s="1"/>
  <c r="Q97" i="1" s="1"/>
  <c r="R97" i="1" s="1"/>
  <c r="D97" i="1" s="1"/>
  <c r="Z206" i="1"/>
  <c r="AA206" i="1" s="1"/>
  <c r="O206" i="1" s="1"/>
  <c r="Q206" i="1" s="1"/>
  <c r="R206" i="1" s="1"/>
  <c r="D206" i="1" s="1"/>
  <c r="Z106" i="1"/>
  <c r="AA106" i="1" s="1"/>
  <c r="O106" i="1" s="1"/>
  <c r="Q106" i="1" s="1"/>
  <c r="R106" i="1" s="1"/>
  <c r="D106" i="1" s="1"/>
  <c r="Z245" i="1"/>
  <c r="AA245" i="1" s="1"/>
  <c r="O245" i="1" s="1"/>
  <c r="Q245" i="1" s="1"/>
  <c r="R245" i="1" s="1"/>
  <c r="D245" i="1" s="1"/>
  <c r="Z165" i="1"/>
  <c r="AA165" i="1" s="1"/>
  <c r="O165" i="1" s="1"/>
  <c r="Q165" i="1" s="1"/>
  <c r="R165" i="1" s="1"/>
  <c r="D165" i="1" s="1"/>
  <c r="Z41" i="1"/>
  <c r="AA41" i="1" s="1"/>
  <c r="O41" i="1" s="1"/>
  <c r="Q41" i="1" s="1"/>
  <c r="R41" i="1" s="1"/>
  <c r="D41" i="1" s="1"/>
  <c r="Z11" i="1"/>
  <c r="AA11" i="1" s="1"/>
  <c r="O11" i="1" s="1"/>
  <c r="Q11" i="1" s="1"/>
  <c r="R11" i="1" s="1"/>
  <c r="D11" i="1" s="1"/>
  <c r="Z35" i="1"/>
  <c r="AA35" i="1" s="1"/>
  <c r="O35" i="1" s="1"/>
  <c r="Q35" i="1" s="1"/>
  <c r="R35" i="1" s="1"/>
  <c r="D35" i="1" s="1"/>
  <c r="Z217" i="1"/>
  <c r="AA217" i="1" s="1"/>
  <c r="O217" i="1" s="1"/>
  <c r="Q217" i="1" s="1"/>
  <c r="R217" i="1" s="1"/>
  <c r="D217" i="1" s="1"/>
  <c r="Z205" i="1"/>
  <c r="AA205" i="1" s="1"/>
  <c r="O205" i="1" s="1"/>
  <c r="Q205" i="1" s="1"/>
  <c r="R205" i="1" s="1"/>
  <c r="D205" i="1" s="1"/>
  <c r="Z84" i="1"/>
  <c r="AA84" i="1" s="1"/>
  <c r="O84" i="1" s="1"/>
  <c r="Q84" i="1" s="1"/>
  <c r="R84" i="1" s="1"/>
  <c r="D84" i="1" s="1"/>
  <c r="Z8" i="1"/>
  <c r="AA8" i="1" s="1"/>
  <c r="O8" i="1" s="1"/>
  <c r="Q8" i="1" s="1"/>
  <c r="R8" i="1" s="1"/>
  <c r="D8" i="1" s="1"/>
  <c r="Z25" i="1"/>
  <c r="AA25" i="1" s="1"/>
  <c r="O25" i="1" s="1"/>
  <c r="Q25" i="1" s="1"/>
  <c r="R25" i="1" s="1"/>
  <c r="D25" i="1" s="1"/>
  <c r="Z42" i="1"/>
  <c r="AA42" i="1" s="1"/>
  <c r="O42" i="1" s="1"/>
  <c r="Q42" i="1" s="1"/>
  <c r="R42" i="1" s="1"/>
  <c r="D42" i="1" s="1"/>
  <c r="Z183" i="1"/>
  <c r="AA183" i="1" s="1"/>
  <c r="O183" i="1" s="1"/>
  <c r="Q183" i="1" s="1"/>
  <c r="R183" i="1" s="1"/>
  <c r="D183" i="1" s="1"/>
  <c r="Z63" i="3"/>
  <c r="AA63" i="3" s="1"/>
  <c r="Z58" i="3"/>
  <c r="AA58" i="3" s="1"/>
  <c r="Z157" i="3"/>
  <c r="AA157" i="3" s="1"/>
  <c r="Z40" i="3"/>
  <c r="AA40" i="3" s="1"/>
  <c r="Z121" i="3"/>
  <c r="AA121" i="3" s="1"/>
  <c r="Z47" i="3"/>
  <c r="AA47" i="3" s="1"/>
  <c r="Z212" i="3"/>
  <c r="AA212" i="3" s="1"/>
  <c r="Z155" i="3"/>
  <c r="AA155" i="3" s="1"/>
  <c r="Z104" i="3"/>
  <c r="AA104" i="3" s="1"/>
  <c r="AA173" i="6"/>
  <c r="O173" i="6" s="1"/>
  <c r="Q173" i="6" s="1"/>
  <c r="R173" i="6" s="1"/>
  <c r="D173" i="6" s="1"/>
  <c r="AA138" i="6"/>
  <c r="O138" i="6" s="1"/>
  <c r="Q138" i="6" s="1"/>
  <c r="R138" i="6" s="1"/>
  <c r="D138" i="6" s="1"/>
  <c r="AA177" i="6"/>
  <c r="O177" i="6" s="1"/>
  <c r="Q177" i="6" s="1"/>
  <c r="R177" i="6" s="1"/>
  <c r="D177" i="6" s="1"/>
  <c r="AA86" i="6"/>
  <c r="O86" i="6" s="1"/>
  <c r="Q86" i="6" s="1"/>
  <c r="R86" i="6" s="1"/>
  <c r="D86" i="6" s="1"/>
  <c r="AA41" i="6"/>
  <c r="O41" i="6" s="1"/>
  <c r="Q41" i="6" s="1"/>
  <c r="R41" i="6" s="1"/>
  <c r="D41" i="6" s="1"/>
  <c r="AA160" i="6"/>
  <c r="O160" i="6" s="1"/>
  <c r="Q160" i="6" s="1"/>
  <c r="R160" i="6" s="1"/>
  <c r="D160" i="6" s="1"/>
  <c r="AK48" i="3"/>
  <c r="AL48" i="3" s="1"/>
  <c r="AK35" i="2"/>
  <c r="AL35" i="2" s="1"/>
  <c r="X35" i="2" s="1"/>
  <c r="AG13" i="2"/>
  <c r="AG20" i="2"/>
  <c r="AG24" i="2"/>
  <c r="AG95" i="1"/>
  <c r="AG28" i="1"/>
  <c r="AG9" i="2"/>
  <c r="AG19" i="1"/>
  <c r="AG13" i="5"/>
  <c r="AG6" i="5"/>
  <c r="AG16" i="5"/>
  <c r="AG25" i="5"/>
  <c r="AG12" i="5"/>
  <c r="AG18" i="5"/>
  <c r="AG312" i="3"/>
  <c r="AG239" i="3"/>
  <c r="AG135" i="3"/>
  <c r="AG233" i="3"/>
  <c r="AG310" i="3"/>
  <c r="AG146" i="3"/>
  <c r="AG246" i="3"/>
  <c r="AG275" i="3"/>
  <c r="AG15" i="5"/>
  <c r="AG49" i="1"/>
  <c r="AK49" i="1" s="1"/>
  <c r="AL49" i="1" s="1"/>
  <c r="AG161" i="1"/>
  <c r="AK161" i="1" s="1"/>
  <c r="AL161" i="1" s="1"/>
  <c r="AG126" i="1"/>
  <c r="AG71" i="1"/>
  <c r="AK71" i="1" s="1"/>
  <c r="AL71" i="1" s="1"/>
  <c r="AG201" i="1"/>
  <c r="AG228" i="1"/>
  <c r="AK228" i="1" s="1"/>
  <c r="AL228" i="1" s="1"/>
  <c r="AG139" i="1"/>
  <c r="AK139" i="1" s="1"/>
  <c r="AL139" i="1" s="1"/>
  <c r="AG128" i="1"/>
  <c r="AK128" i="1" s="1"/>
  <c r="AL128" i="1" s="1"/>
  <c r="AG145" i="1"/>
  <c r="AK145" i="1" s="1"/>
  <c r="AL145" i="1" s="1"/>
  <c r="AG158" i="1"/>
  <c r="AK158" i="1" s="1"/>
  <c r="AL158" i="1" s="1"/>
  <c r="AG253" i="1"/>
  <c r="AK253" i="1" s="1"/>
  <c r="AL253" i="1" s="1"/>
  <c r="AG136" i="1"/>
  <c r="AK136" i="1" s="1"/>
  <c r="AL136" i="1" s="1"/>
  <c r="AG20" i="1"/>
  <c r="AK20" i="1" s="1"/>
  <c r="AL20" i="1" s="1"/>
  <c r="AG171" i="1"/>
  <c r="AK171" i="1" s="1"/>
  <c r="AL171" i="1" s="1"/>
  <c r="AG239" i="1"/>
  <c r="AG73" i="1"/>
  <c r="AG252" i="1"/>
  <c r="AK252" i="1" s="1"/>
  <c r="AL252" i="1" s="1"/>
  <c r="AG130" i="1"/>
  <c r="AK130" i="1" s="1"/>
  <c r="AL130" i="1" s="1"/>
  <c r="AG24" i="1"/>
  <c r="AG29" i="1"/>
  <c r="AK29" i="1" s="1"/>
  <c r="AL29" i="1" s="1"/>
  <c r="AF194" i="6"/>
  <c r="AK194" i="6" s="1"/>
  <c r="AL194" i="6" s="1"/>
  <c r="X194" i="6" s="1"/>
  <c r="AE14" i="8"/>
  <c r="AF16" i="6"/>
  <c r="AF15" i="6"/>
  <c r="AF6" i="6"/>
  <c r="AF156" i="6"/>
  <c r="AK156" i="6" s="1"/>
  <c r="AL156" i="6" s="1"/>
  <c r="X156" i="6" s="1"/>
  <c r="AF192" i="6"/>
  <c r="AK192" i="6" s="1"/>
  <c r="AL192" i="6" s="1"/>
  <c r="X192" i="6" s="1"/>
  <c r="AF199" i="6"/>
  <c r="AK199" i="6" s="1"/>
  <c r="AL199" i="6" s="1"/>
  <c r="X199" i="6" s="1"/>
  <c r="AF64" i="6"/>
  <c r="AK64" i="6" s="1"/>
  <c r="AL64" i="6" s="1"/>
  <c r="X64" i="6" s="1"/>
  <c r="AF84" i="3"/>
  <c r="AF195" i="3"/>
  <c r="AF258" i="3"/>
  <c r="AF51" i="3"/>
  <c r="AF141" i="3"/>
  <c r="AF17" i="3"/>
  <c r="AF7" i="3"/>
  <c r="AF246" i="3"/>
  <c r="AF109" i="3"/>
  <c r="AF227" i="3"/>
  <c r="AF74" i="1"/>
  <c r="AK74" i="1" s="1"/>
  <c r="AL74" i="1" s="1"/>
  <c r="AF30" i="1"/>
  <c r="AF109" i="1"/>
  <c r="AK109" i="1" s="1"/>
  <c r="AL109" i="1" s="1"/>
  <c r="AF6" i="1"/>
  <c r="AK6" i="1" s="1"/>
  <c r="AL6" i="1" s="1"/>
  <c r="AF167" i="1"/>
  <c r="AK167" i="1" s="1"/>
  <c r="AL167" i="1" s="1"/>
  <c r="AF87" i="6"/>
  <c r="AK87" i="6" s="1"/>
  <c r="AL87" i="6" s="1"/>
  <c r="X87" i="6" s="1"/>
  <c r="AF13" i="6"/>
  <c r="AF149" i="6"/>
  <c r="AF183" i="6"/>
  <c r="AK183" i="6" s="1"/>
  <c r="AL183" i="6" s="1"/>
  <c r="X183" i="6" s="1"/>
  <c r="AI15" i="6"/>
  <c r="AI6" i="6"/>
  <c r="AF10" i="6"/>
  <c r="AF39" i="6"/>
  <c r="AK39" i="6" s="1"/>
  <c r="AL39" i="6" s="1"/>
  <c r="X39" i="6" s="1"/>
  <c r="AF168" i="6"/>
  <c r="AK168" i="6" s="1"/>
  <c r="AL168" i="6" s="1"/>
  <c r="X168" i="6" s="1"/>
  <c r="AF56" i="6"/>
  <c r="AK56" i="6" s="1"/>
  <c r="AL56" i="6" s="1"/>
  <c r="X56" i="6" s="1"/>
  <c r="AE10" i="8"/>
  <c r="AH10" i="8"/>
  <c r="AF97" i="6"/>
  <c r="AK97" i="6" s="1"/>
  <c r="AL97" i="6" s="1"/>
  <c r="X97" i="6" s="1"/>
  <c r="AF15" i="4"/>
  <c r="AF29" i="4"/>
  <c r="AI29" i="4"/>
  <c r="AF271" i="3"/>
  <c r="AF21" i="3"/>
  <c r="AI21" i="3"/>
  <c r="AI7" i="3"/>
  <c r="AF14" i="3"/>
  <c r="AF59" i="3"/>
  <c r="AF216" i="3"/>
  <c r="AF93" i="3"/>
  <c r="AF13" i="2"/>
  <c r="AF24" i="2"/>
  <c r="AF20" i="2"/>
  <c r="AF23" i="2"/>
  <c r="AF219" i="1"/>
  <c r="AK219" i="1" s="1"/>
  <c r="AL219" i="1" s="1"/>
  <c r="AF95" i="1"/>
  <c r="AF28" i="1"/>
  <c r="AF19" i="1"/>
  <c r="AF144" i="1"/>
  <c r="AI144" i="1"/>
  <c r="AF21" i="1"/>
  <c r="AF31" i="2"/>
  <c r="AF70" i="1"/>
  <c r="AK70" i="1" s="1"/>
  <c r="AL70" i="1" s="1"/>
  <c r="AF239" i="1"/>
  <c r="AF73" i="1"/>
  <c r="AF66" i="1"/>
  <c r="AF98" i="1"/>
  <c r="AF126" i="1"/>
  <c r="AF34" i="1"/>
  <c r="AE34" i="1"/>
  <c r="AC34" i="1"/>
  <c r="O157" i="3" l="1"/>
  <c r="Q157" i="3" s="1"/>
  <c r="R157" i="3" s="1"/>
  <c r="D157" i="3" s="1"/>
  <c r="O212" i="3"/>
  <c r="Q212" i="3" s="1"/>
  <c r="R212" i="3" s="1"/>
  <c r="D212" i="3" s="1"/>
  <c r="O121" i="3"/>
  <c r="Q121" i="3" s="1"/>
  <c r="R121" i="3" s="1"/>
  <c r="D121" i="3" s="1"/>
  <c r="O104" i="3"/>
  <c r="Q104" i="3" s="1"/>
  <c r="R104" i="3" s="1"/>
  <c r="D104" i="3" s="1"/>
  <c r="O47" i="3"/>
  <c r="Q47" i="3" s="1"/>
  <c r="R47" i="3" s="1"/>
  <c r="D47" i="3" s="1"/>
  <c r="O63" i="3"/>
  <c r="Q63" i="3" s="1"/>
  <c r="R63" i="3" s="1"/>
  <c r="D63" i="3" s="1"/>
  <c r="O155" i="3"/>
  <c r="Q155" i="3" s="1"/>
  <c r="R155" i="3" s="1"/>
  <c r="D155" i="3" s="1"/>
  <c r="O40" i="3"/>
  <c r="Q40" i="3" s="1"/>
  <c r="R40" i="3" s="1"/>
  <c r="D40" i="3" s="1"/>
  <c r="O58" i="3"/>
  <c r="Q58" i="3" s="1"/>
  <c r="R58" i="3" s="1"/>
  <c r="D58" i="3" s="1"/>
  <c r="AK34" i="1"/>
  <c r="AL34" i="1" s="1"/>
  <c r="AK144" i="1"/>
  <c r="AL144" i="1" s="1"/>
  <c r="AK19" i="1"/>
  <c r="AL19" i="1" s="1"/>
  <c r="AK73" i="1"/>
  <c r="AL73" i="1" s="1"/>
  <c r="Z183" i="6"/>
  <c r="Z87" i="6"/>
  <c r="Z192" i="6"/>
  <c r="Z97" i="6"/>
  <c r="Z168" i="6"/>
  <c r="Z64" i="6"/>
  <c r="Z199" i="6"/>
  <c r="Z156" i="6"/>
  <c r="Z56" i="6"/>
  <c r="Z39" i="6"/>
  <c r="Z194" i="6"/>
  <c r="Z35" i="2"/>
  <c r="AA35" i="2" s="1"/>
  <c r="AJ10" i="8"/>
  <c r="AK10" i="8" s="1"/>
  <c r="W10" i="8" s="1"/>
  <c r="AK15" i="6"/>
  <c r="AL15" i="6" s="1"/>
  <c r="X15" i="6" s="1"/>
  <c r="AJ14" i="8"/>
  <c r="AK14" i="8" s="1"/>
  <c r="W14" i="8" s="1"/>
  <c r="AK6" i="6"/>
  <c r="AK29" i="4"/>
  <c r="AL29" i="4" s="1"/>
  <c r="X29" i="4" s="1"/>
  <c r="AK15" i="4"/>
  <c r="AL15" i="4" s="1"/>
  <c r="X15" i="4" s="1"/>
  <c r="X48" i="3"/>
  <c r="X56" i="1"/>
  <c r="X169" i="1"/>
  <c r="X57" i="1"/>
  <c r="X76" i="1"/>
  <c r="X14" i="1"/>
  <c r="X146" i="1"/>
  <c r="X243" i="1"/>
  <c r="X116" i="1"/>
  <c r="X38" i="1"/>
  <c r="X181" i="1"/>
  <c r="X36" i="1"/>
  <c r="X156" i="1"/>
  <c r="X113" i="1"/>
  <c r="X256" i="1"/>
  <c r="AK21" i="3"/>
  <c r="AL21" i="3" s="1"/>
  <c r="AK7" i="3"/>
  <c r="AL7" i="3" s="1"/>
  <c r="AK195" i="3"/>
  <c r="AL195" i="3" s="1"/>
  <c r="AK258" i="3"/>
  <c r="AL258" i="3" s="1"/>
  <c r="AK84" i="3"/>
  <c r="AL84" i="3" s="1"/>
  <c r="AK227" i="3"/>
  <c r="AL227" i="3" s="1"/>
  <c r="AK239" i="3"/>
  <c r="AL239" i="3" s="1"/>
  <c r="AK312" i="3"/>
  <c r="AL312" i="3" s="1"/>
  <c r="AK109" i="3"/>
  <c r="AL109" i="3" s="1"/>
  <c r="AK246" i="3"/>
  <c r="AL246" i="3" s="1"/>
  <c r="AK93" i="3"/>
  <c r="AL93" i="3" s="1"/>
  <c r="AK275" i="3"/>
  <c r="AL275" i="3" s="1"/>
  <c r="AK146" i="3"/>
  <c r="AL146" i="3" s="1"/>
  <c r="AK310" i="3"/>
  <c r="AL310" i="3" s="1"/>
  <c r="AK51" i="3"/>
  <c r="AL51" i="3" s="1"/>
  <c r="AK233" i="3"/>
  <c r="AL233" i="3" s="1"/>
  <c r="AK216" i="3"/>
  <c r="AL216" i="3" s="1"/>
  <c r="AK135" i="3"/>
  <c r="AL135" i="3" s="1"/>
  <c r="AK13" i="5"/>
  <c r="AL13" i="5" s="1"/>
  <c r="X13" i="5" s="1"/>
  <c r="AK12" i="5"/>
  <c r="AL12" i="5" s="1"/>
  <c r="X12" i="5" s="1"/>
  <c r="AK15" i="5"/>
  <c r="AL15" i="5" s="1"/>
  <c r="X15" i="5" s="1"/>
  <c r="AK6" i="5"/>
  <c r="AL6" i="5" s="1"/>
  <c r="X6" i="5" s="1"/>
  <c r="Z6" i="5" s="1"/>
  <c r="AK16" i="5"/>
  <c r="AL16" i="5" s="1"/>
  <c r="X16" i="5" s="1"/>
  <c r="O35" i="2" l="1"/>
  <c r="Q35" i="2" s="1"/>
  <c r="R35" i="2" s="1"/>
  <c r="D35" i="2" s="1"/>
  <c r="Z14" i="1"/>
  <c r="AA14" i="1" s="1"/>
  <c r="O14" i="1" s="1"/>
  <c r="Q14" i="1" s="1"/>
  <c r="R14" i="1" s="1"/>
  <c r="D14" i="1" s="1"/>
  <c r="Z156" i="1"/>
  <c r="AA156" i="1" s="1"/>
  <c r="O156" i="1" s="1"/>
  <c r="Q156" i="1" s="1"/>
  <c r="R156" i="1" s="1"/>
  <c r="D156" i="1" s="1"/>
  <c r="Z243" i="1"/>
  <c r="AA243" i="1" s="1"/>
  <c r="O243" i="1" s="1"/>
  <c r="Q243" i="1" s="1"/>
  <c r="R243" i="1" s="1"/>
  <c r="D243" i="1" s="1"/>
  <c r="Z57" i="1"/>
  <c r="AA57" i="1" s="1"/>
  <c r="O57" i="1" s="1"/>
  <c r="Q57" i="1" s="1"/>
  <c r="R57" i="1" s="1"/>
  <c r="D57" i="1" s="1"/>
  <c r="Z56" i="1"/>
  <c r="AA56" i="1" s="1"/>
  <c r="O56" i="1" s="1"/>
  <c r="Q56" i="1" s="1"/>
  <c r="R56" i="1" s="1"/>
  <c r="D56" i="1" s="1"/>
  <c r="Z181" i="1"/>
  <c r="AA181" i="1" s="1"/>
  <c r="O181" i="1" s="1"/>
  <c r="Q181" i="1" s="1"/>
  <c r="R181" i="1" s="1"/>
  <c r="D181" i="1" s="1"/>
  <c r="Z146" i="1"/>
  <c r="AA146" i="1" s="1"/>
  <c r="O146" i="1" s="1"/>
  <c r="Q146" i="1" s="1"/>
  <c r="R146" i="1" s="1"/>
  <c r="D146" i="1" s="1"/>
  <c r="Z169" i="1"/>
  <c r="AA169" i="1" s="1"/>
  <c r="O169" i="1" s="1"/>
  <c r="Q169" i="1" s="1"/>
  <c r="R169" i="1" s="1"/>
  <c r="D169" i="1" s="1"/>
  <c r="Z76" i="1"/>
  <c r="AA76" i="1" s="1"/>
  <c r="O76" i="1" s="1"/>
  <c r="Q76" i="1" s="1"/>
  <c r="R76" i="1" s="1"/>
  <c r="D76" i="1" s="1"/>
  <c r="Z256" i="1"/>
  <c r="AA256" i="1" s="1"/>
  <c r="O256" i="1" s="1"/>
  <c r="Q256" i="1" s="1"/>
  <c r="R256" i="1" s="1"/>
  <c r="D256" i="1" s="1"/>
  <c r="Z113" i="1"/>
  <c r="AA113" i="1" s="1"/>
  <c r="O113" i="1" s="1"/>
  <c r="Q113" i="1" s="1"/>
  <c r="R113" i="1" s="1"/>
  <c r="D113" i="1" s="1"/>
  <c r="Z36" i="1"/>
  <c r="AA36" i="1" s="1"/>
  <c r="O36" i="1" s="1"/>
  <c r="Q36" i="1" s="1"/>
  <c r="R36" i="1" s="1"/>
  <c r="D36" i="1" s="1"/>
  <c r="Z38" i="1"/>
  <c r="AA38" i="1" s="1"/>
  <c r="O38" i="1" s="1"/>
  <c r="Q38" i="1" s="1"/>
  <c r="R38" i="1" s="1"/>
  <c r="D38" i="1" s="1"/>
  <c r="Z116" i="1"/>
  <c r="AA116" i="1" s="1"/>
  <c r="O116" i="1" s="1"/>
  <c r="Q116" i="1" s="1"/>
  <c r="R116" i="1" s="1"/>
  <c r="D116" i="1" s="1"/>
  <c r="Z48" i="3"/>
  <c r="AA48" i="3" s="1"/>
  <c r="AA97" i="6"/>
  <c r="O97" i="6" s="1"/>
  <c r="Q97" i="6" s="1"/>
  <c r="R97" i="6" s="1"/>
  <c r="D97" i="6" s="1"/>
  <c r="AA64" i="6"/>
  <c r="O64" i="6" s="1"/>
  <c r="Q64" i="6" s="1"/>
  <c r="R64" i="6" s="1"/>
  <c r="D64" i="6" s="1"/>
  <c r="AA192" i="6"/>
  <c r="O192" i="6" s="1"/>
  <c r="Q192" i="6" s="1"/>
  <c r="R192" i="6" s="1"/>
  <c r="D192" i="6" s="1"/>
  <c r="AA183" i="6"/>
  <c r="O183" i="6" s="1"/>
  <c r="Q183" i="6" s="1"/>
  <c r="R183" i="6" s="1"/>
  <c r="D183" i="6" s="1"/>
  <c r="AA39" i="6"/>
  <c r="O39" i="6" s="1"/>
  <c r="Q39" i="6" s="1"/>
  <c r="R39" i="6" s="1"/>
  <c r="D39" i="6" s="1"/>
  <c r="AA156" i="6"/>
  <c r="O156" i="6" s="1"/>
  <c r="Q156" i="6" s="1"/>
  <c r="R156" i="6" s="1"/>
  <c r="D156" i="6" s="1"/>
  <c r="AA87" i="6"/>
  <c r="O87" i="6" s="1"/>
  <c r="Q87" i="6" s="1"/>
  <c r="R87" i="6" s="1"/>
  <c r="D87" i="6" s="1"/>
  <c r="AA56" i="6"/>
  <c r="O56" i="6" s="1"/>
  <c r="Q56" i="6" s="1"/>
  <c r="R56" i="6" s="1"/>
  <c r="D56" i="6" s="1"/>
  <c r="AA199" i="6"/>
  <c r="O199" i="6" s="1"/>
  <c r="Q199" i="6" s="1"/>
  <c r="R199" i="6" s="1"/>
  <c r="D199" i="6" s="1"/>
  <c r="AA168" i="6"/>
  <c r="O168" i="6" s="1"/>
  <c r="Q168" i="6" s="1"/>
  <c r="R168" i="6" s="1"/>
  <c r="D168" i="6" s="1"/>
  <c r="AA194" i="6"/>
  <c r="O194" i="6" s="1"/>
  <c r="Q194" i="6" s="1"/>
  <c r="R194" i="6" s="1"/>
  <c r="D194" i="6" s="1"/>
  <c r="Y10" i="8"/>
  <c r="Y14" i="8"/>
  <c r="Z15" i="6"/>
  <c r="Z29" i="4"/>
  <c r="AA29" i="4" s="1"/>
  <c r="Z15" i="4"/>
  <c r="AA15" i="4" s="1"/>
  <c r="Z12" i="5"/>
  <c r="AA12" i="5" s="1"/>
  <c r="O12" i="5" s="1"/>
  <c r="Q12" i="5" s="1"/>
  <c r="R12" i="5" s="1"/>
  <c r="Z16" i="5"/>
  <c r="AA16" i="5" s="1"/>
  <c r="O16" i="5" s="1"/>
  <c r="Q16" i="5" s="1"/>
  <c r="R16" i="5" s="1"/>
  <c r="Z13" i="5"/>
  <c r="AA13" i="5" s="1"/>
  <c r="O13" i="5" s="1"/>
  <c r="Q13" i="5" s="1"/>
  <c r="R13" i="5" s="1"/>
  <c r="Z15" i="5"/>
  <c r="AA15" i="5" s="1"/>
  <c r="O15" i="5" s="1"/>
  <c r="Q15" i="5" s="1"/>
  <c r="R15" i="5" s="1"/>
  <c r="AL6" i="6"/>
  <c r="X6" i="6" s="1"/>
  <c r="X84" i="3"/>
  <c r="X93" i="3"/>
  <c r="X258" i="3"/>
  <c r="X310" i="3"/>
  <c r="X195" i="3"/>
  <c r="X246" i="3"/>
  <c r="X7" i="3"/>
  <c r="Z7" i="3" s="1"/>
  <c r="X146" i="3"/>
  <c r="X312" i="3"/>
  <c r="X51" i="3"/>
  <c r="X21" i="3"/>
  <c r="Z21" i="3" s="1"/>
  <c r="AA21" i="3" s="1"/>
  <c r="X275" i="3"/>
  <c r="X239" i="3"/>
  <c r="X135" i="3"/>
  <c r="X216" i="3"/>
  <c r="X227" i="3"/>
  <c r="X109" i="3"/>
  <c r="X233" i="3"/>
  <c r="X252" i="1"/>
  <c r="X171" i="1"/>
  <c r="X109" i="1"/>
  <c r="X158" i="1"/>
  <c r="X128" i="1"/>
  <c r="X49" i="1"/>
  <c r="X253" i="1"/>
  <c r="X228" i="1"/>
  <c r="X167" i="1"/>
  <c r="X136" i="1"/>
  <c r="X34" i="1"/>
  <c r="X6" i="1"/>
  <c r="Z6" i="1" s="1"/>
  <c r="X73" i="1"/>
  <c r="X161" i="1"/>
  <c r="X139" i="1"/>
  <c r="X20" i="1"/>
  <c r="X144" i="1"/>
  <c r="X29" i="1"/>
  <c r="X71" i="1"/>
  <c r="X130" i="1"/>
  <c r="X219" i="1"/>
  <c r="X74" i="1"/>
  <c r="X145" i="1"/>
  <c r="X70" i="1"/>
  <c r="X19" i="1"/>
  <c r="AF24" i="1"/>
  <c r="AK24" i="1" s="1"/>
  <c r="AL24" i="1" s="1"/>
  <c r="AF247" i="1"/>
  <c r="AK247" i="1" s="1"/>
  <c r="AL247" i="1" s="1"/>
  <c r="AF21" i="5"/>
  <c r="AF18" i="5"/>
  <c r="AF25" i="5"/>
  <c r="AE18" i="5"/>
  <c r="AE21" i="1"/>
  <c r="AE66" i="1"/>
  <c r="AK66" i="1" s="1"/>
  <c r="AL66" i="1" s="1"/>
  <c r="AE18" i="1"/>
  <c r="AE114" i="1"/>
  <c r="AE51" i="6"/>
  <c r="AK51" i="6" s="1"/>
  <c r="AL51" i="6" s="1"/>
  <c r="X51" i="6" s="1"/>
  <c r="AE10" i="6"/>
  <c r="AI13" i="2"/>
  <c r="AE13" i="2"/>
  <c r="AE9" i="2"/>
  <c r="AI9" i="2"/>
  <c r="AE23" i="2"/>
  <c r="AE24" i="2"/>
  <c r="AE61" i="1"/>
  <c r="AK61" i="1" s="1"/>
  <c r="AL61" i="1" s="1"/>
  <c r="AE160" i="1"/>
  <c r="AK160" i="1" s="1"/>
  <c r="AL160" i="1" s="1"/>
  <c r="AE83" i="1"/>
  <c r="AK83" i="1" s="1"/>
  <c r="AL83" i="1" s="1"/>
  <c r="AE244" i="1"/>
  <c r="AK244" i="1" s="1"/>
  <c r="AL244" i="1" s="1"/>
  <c r="AE186" i="1"/>
  <c r="AK186" i="1" s="1"/>
  <c r="AL186" i="1" s="1"/>
  <c r="AE126" i="1"/>
  <c r="AK126" i="1" s="1"/>
  <c r="AL126" i="1" s="1"/>
  <c r="AE125" i="1"/>
  <c r="AK125" i="1" s="1"/>
  <c r="AL125" i="1" s="1"/>
  <c r="AE220" i="1"/>
  <c r="AK220" i="1" s="1"/>
  <c r="AL220" i="1" s="1"/>
  <c r="AE239" i="1"/>
  <c r="AK239" i="1" s="1"/>
  <c r="AL239" i="1" s="1"/>
  <c r="AE90" i="1"/>
  <c r="AK90" i="1" s="1"/>
  <c r="AL90" i="1" s="1"/>
  <c r="AE149" i="1"/>
  <c r="AK149" i="1" s="1"/>
  <c r="AL149" i="1" s="1"/>
  <c r="AE27" i="1"/>
  <c r="AK27" i="1" s="1"/>
  <c r="AL27" i="1" s="1"/>
  <c r="AE235" i="1"/>
  <c r="AK235" i="1" s="1"/>
  <c r="AL235" i="1" s="1"/>
  <c r="AE98" i="1"/>
  <c r="AK98" i="1" s="1"/>
  <c r="AL98" i="1" s="1"/>
  <c r="AE201" i="1"/>
  <c r="AK201" i="1" s="1"/>
  <c r="AL201" i="1" s="1"/>
  <c r="AE30" i="1"/>
  <c r="AK30" i="1" s="1"/>
  <c r="AL30" i="1" s="1"/>
  <c r="AE168" i="1"/>
  <c r="AK168" i="1" s="1"/>
  <c r="AL168" i="1" s="1"/>
  <c r="AE58" i="1"/>
  <c r="AK58" i="1" s="1"/>
  <c r="AL58" i="1" s="1"/>
  <c r="AE95" i="1"/>
  <c r="AE189" i="1"/>
  <c r="AK189" i="1" s="1"/>
  <c r="AL189" i="1" s="1"/>
  <c r="AE28" i="1"/>
  <c r="O29" i="4" l="1"/>
  <c r="Q29" i="4" s="1"/>
  <c r="R29" i="4" s="1"/>
  <c r="D29" i="4" s="1"/>
  <c r="O15" i="4"/>
  <c r="Q15" i="4" s="1"/>
  <c r="R15" i="4" s="1"/>
  <c r="D15" i="4" s="1"/>
  <c r="O48" i="3"/>
  <c r="Q48" i="3" s="1"/>
  <c r="R48" i="3" s="1"/>
  <c r="D48" i="3" s="1"/>
  <c r="O21" i="3"/>
  <c r="Q21" i="3" s="1"/>
  <c r="R21" i="3" s="1"/>
  <c r="D21" i="3" s="1"/>
  <c r="Z167" i="1"/>
  <c r="AA167" i="1" s="1"/>
  <c r="O167" i="1" s="1"/>
  <c r="Q167" i="1" s="1"/>
  <c r="R167" i="1" s="1"/>
  <c r="D167" i="1" s="1"/>
  <c r="Z228" i="1"/>
  <c r="AA228" i="1" s="1"/>
  <c r="O228" i="1" s="1"/>
  <c r="Q228" i="1" s="1"/>
  <c r="R228" i="1" s="1"/>
  <c r="D228" i="1" s="1"/>
  <c r="Z253" i="1"/>
  <c r="AA253" i="1" s="1"/>
  <c r="O253" i="1" s="1"/>
  <c r="Q253" i="1" s="1"/>
  <c r="R253" i="1" s="1"/>
  <c r="D253" i="1" s="1"/>
  <c r="Z158" i="1"/>
  <c r="AA158" i="1" s="1"/>
  <c r="O158" i="1" s="1"/>
  <c r="Q158" i="1" s="1"/>
  <c r="R158" i="1" s="1"/>
  <c r="D158" i="1" s="1"/>
  <c r="Z29" i="1"/>
  <c r="AA29" i="1" s="1"/>
  <c r="O29" i="1" s="1"/>
  <c r="Q29" i="1" s="1"/>
  <c r="R29" i="1" s="1"/>
  <c r="D29" i="1" s="1"/>
  <c r="Z136" i="1"/>
  <c r="AA136" i="1" s="1"/>
  <c r="O136" i="1" s="1"/>
  <c r="Q136" i="1" s="1"/>
  <c r="R136" i="1" s="1"/>
  <c r="D136" i="1" s="1"/>
  <c r="Z19" i="1"/>
  <c r="AA19" i="1" s="1"/>
  <c r="O19" i="1" s="1"/>
  <c r="Q19" i="1" s="1"/>
  <c r="R19" i="1" s="1"/>
  <c r="D19" i="1" s="1"/>
  <c r="Z74" i="1"/>
  <c r="AA74" i="1" s="1"/>
  <c r="O74" i="1" s="1"/>
  <c r="Q74" i="1" s="1"/>
  <c r="R74" i="1" s="1"/>
  <c r="D74" i="1" s="1"/>
  <c r="Z128" i="1"/>
  <c r="AA128" i="1" s="1"/>
  <c r="O128" i="1" s="1"/>
  <c r="Q128" i="1" s="1"/>
  <c r="R128" i="1" s="1"/>
  <c r="D128" i="1" s="1"/>
  <c r="Z109" i="1"/>
  <c r="AA109" i="1" s="1"/>
  <c r="O109" i="1" s="1"/>
  <c r="Q109" i="1" s="1"/>
  <c r="R109" i="1" s="1"/>
  <c r="D109" i="1" s="1"/>
  <c r="Z171" i="1"/>
  <c r="AA171" i="1" s="1"/>
  <c r="O171" i="1" s="1"/>
  <c r="Q171" i="1" s="1"/>
  <c r="R171" i="1" s="1"/>
  <c r="D171" i="1" s="1"/>
  <c r="Z144" i="1"/>
  <c r="AA144" i="1" s="1"/>
  <c r="O144" i="1" s="1"/>
  <c r="Q144" i="1" s="1"/>
  <c r="R144" i="1" s="1"/>
  <c r="D144" i="1" s="1"/>
  <c r="Z20" i="1"/>
  <c r="AA20" i="1" s="1"/>
  <c r="O20" i="1" s="1"/>
  <c r="Q20" i="1" s="1"/>
  <c r="R20" i="1" s="1"/>
  <c r="D20" i="1" s="1"/>
  <c r="Z139" i="1"/>
  <c r="AA139" i="1" s="1"/>
  <c r="O139" i="1" s="1"/>
  <c r="Q139" i="1" s="1"/>
  <c r="R139" i="1" s="1"/>
  <c r="D139" i="1" s="1"/>
  <c r="Z73" i="1"/>
  <c r="AA73" i="1" s="1"/>
  <c r="O73" i="1" s="1"/>
  <c r="Q73" i="1" s="1"/>
  <c r="R73" i="1" s="1"/>
  <c r="D73" i="1" s="1"/>
  <c r="Z49" i="1"/>
  <c r="AA49" i="1" s="1"/>
  <c r="O49" i="1" s="1"/>
  <c r="Q49" i="1" s="1"/>
  <c r="R49" i="1" s="1"/>
  <c r="D49" i="1" s="1"/>
  <c r="Z219" i="1"/>
  <c r="AA219" i="1" s="1"/>
  <c r="O219" i="1" s="1"/>
  <c r="Q219" i="1" s="1"/>
  <c r="R219" i="1" s="1"/>
  <c r="D219" i="1" s="1"/>
  <c r="Z130" i="1"/>
  <c r="AA130" i="1" s="1"/>
  <c r="O130" i="1" s="1"/>
  <c r="Q130" i="1" s="1"/>
  <c r="R130" i="1" s="1"/>
  <c r="D130" i="1" s="1"/>
  <c r="Z252" i="1"/>
  <c r="AA252" i="1" s="1"/>
  <c r="O252" i="1" s="1"/>
  <c r="Q252" i="1" s="1"/>
  <c r="R252" i="1" s="1"/>
  <c r="D252" i="1" s="1"/>
  <c r="Z161" i="1"/>
  <c r="AA161" i="1" s="1"/>
  <c r="O161" i="1" s="1"/>
  <c r="Q161" i="1" s="1"/>
  <c r="R161" i="1" s="1"/>
  <c r="D161" i="1" s="1"/>
  <c r="Z70" i="1"/>
  <c r="AA70" i="1" s="1"/>
  <c r="O70" i="1" s="1"/>
  <c r="Q70" i="1" s="1"/>
  <c r="R70" i="1" s="1"/>
  <c r="D70" i="1" s="1"/>
  <c r="Z145" i="1"/>
  <c r="AA145" i="1" s="1"/>
  <c r="O145" i="1" s="1"/>
  <c r="Q145" i="1" s="1"/>
  <c r="R145" i="1" s="1"/>
  <c r="D145" i="1" s="1"/>
  <c r="Z71" i="1"/>
  <c r="AA71" i="1" s="1"/>
  <c r="O71" i="1" s="1"/>
  <c r="Q71" i="1" s="1"/>
  <c r="R71" i="1" s="1"/>
  <c r="D71" i="1" s="1"/>
  <c r="Z34" i="1"/>
  <c r="AA34" i="1" s="1"/>
  <c r="O34" i="1" s="1"/>
  <c r="Q34" i="1" s="1"/>
  <c r="R34" i="1" s="1"/>
  <c r="D34" i="1" s="1"/>
  <c r="Z93" i="3"/>
  <c r="AA93" i="3" s="1"/>
  <c r="Z84" i="3"/>
  <c r="AA84" i="3" s="1"/>
  <c r="Z135" i="3"/>
  <c r="AA135" i="3" s="1"/>
  <c r="Z51" i="3"/>
  <c r="AA51" i="3" s="1"/>
  <c r="Z109" i="3"/>
  <c r="AA109" i="3" s="1"/>
  <c r="Z239" i="3"/>
  <c r="AA239" i="3" s="1"/>
  <c r="Z146" i="3"/>
  <c r="AA146" i="3" s="1"/>
  <c r="Z246" i="3"/>
  <c r="AA246" i="3" s="1"/>
  <c r="Z195" i="3"/>
  <c r="AA195" i="3" s="1"/>
  <c r="Z233" i="3"/>
  <c r="AA233" i="3" s="1"/>
  <c r="Z227" i="3"/>
  <c r="AA227" i="3" s="1"/>
  <c r="Z216" i="3"/>
  <c r="AA216" i="3" s="1"/>
  <c r="Z310" i="3"/>
  <c r="AA310" i="3" s="1"/>
  <c r="Z275" i="3"/>
  <c r="AA275" i="3" s="1"/>
  <c r="Z312" i="3"/>
  <c r="AA312" i="3" s="1"/>
  <c r="Z258" i="3"/>
  <c r="AA258" i="3" s="1"/>
  <c r="Z10" i="8"/>
  <c r="N10" i="8" s="1"/>
  <c r="P10" i="8" s="1"/>
  <c r="Q10" i="8" s="1"/>
  <c r="D10" i="8" s="1"/>
  <c r="Z14" i="8"/>
  <c r="N14" i="8" s="1"/>
  <c r="P14" i="8" s="1"/>
  <c r="Q14" i="8" s="1"/>
  <c r="D14" i="8" s="1"/>
  <c r="AA15" i="6"/>
  <c r="O15" i="6" s="1"/>
  <c r="Q15" i="6" s="1"/>
  <c r="R15" i="6" s="1"/>
  <c r="D15" i="6" s="1"/>
  <c r="Z6" i="6"/>
  <c r="Z51" i="6"/>
  <c r="AK13" i="2"/>
  <c r="AL13" i="2" s="1"/>
  <c r="X13" i="2" s="1"/>
  <c r="Z13" i="2" s="1"/>
  <c r="AA13" i="2" s="1"/>
  <c r="AA6" i="5"/>
  <c r="AA7" i="3"/>
  <c r="AK25" i="5"/>
  <c r="AL25" i="5" s="1"/>
  <c r="X25" i="5" s="1"/>
  <c r="AK21" i="5"/>
  <c r="AL21" i="5" s="1"/>
  <c r="X21" i="5" s="1"/>
  <c r="AK18" i="5"/>
  <c r="AL18" i="5" s="1"/>
  <c r="X18" i="5" s="1"/>
  <c r="AK9" i="2"/>
  <c r="AL9" i="2" s="1"/>
  <c r="X9" i="2" s="1"/>
  <c r="AK23" i="2"/>
  <c r="AL23" i="2" s="1"/>
  <c r="X23" i="2" s="1"/>
  <c r="AE154" i="1"/>
  <c r="AK154" i="1" s="1"/>
  <c r="AL154" i="1" s="1"/>
  <c r="AE8" i="5"/>
  <c r="AD49" i="6"/>
  <c r="AK49" i="6" s="1"/>
  <c r="AL49" i="6" s="1"/>
  <c r="X49" i="6" s="1"/>
  <c r="AD184" i="6"/>
  <c r="AK184" i="6" s="1"/>
  <c r="AL184" i="6" s="1"/>
  <c r="X184" i="6" s="1"/>
  <c r="AD16" i="6"/>
  <c r="AD85" i="6"/>
  <c r="AK85" i="6" s="1"/>
  <c r="AL85" i="6" s="1"/>
  <c r="X85" i="6" s="1"/>
  <c r="AD287" i="3"/>
  <c r="AD148" i="3"/>
  <c r="AD225" i="3"/>
  <c r="AD22" i="4"/>
  <c r="AD21" i="4"/>
  <c r="AD20" i="4"/>
  <c r="AD13" i="4"/>
  <c r="AD141" i="3"/>
  <c r="AD18" i="1"/>
  <c r="AK18" i="1" s="1"/>
  <c r="AL18" i="1" s="1"/>
  <c r="AD114" i="1"/>
  <c r="AK114" i="1" s="1"/>
  <c r="AL114" i="1" s="1"/>
  <c r="AD214" i="1"/>
  <c r="AK214" i="1" s="1"/>
  <c r="AL214" i="1" s="1"/>
  <c r="AI13" i="6"/>
  <c r="AK13" i="6" s="1"/>
  <c r="AL13" i="6" s="1"/>
  <c r="X13" i="6" s="1"/>
  <c r="AI16" i="6"/>
  <c r="AI149" i="6"/>
  <c r="AK149" i="6" s="1"/>
  <c r="AL149" i="6" s="1"/>
  <c r="X149" i="6" s="1"/>
  <c r="AI22" i="4"/>
  <c r="AI18" i="3"/>
  <c r="AI112" i="3"/>
  <c r="AD14" i="3"/>
  <c r="AI193" i="3"/>
  <c r="AD17" i="3"/>
  <c r="AI59" i="3"/>
  <c r="AD31" i="2"/>
  <c r="AI95" i="1"/>
  <c r="AK95" i="1" s="1"/>
  <c r="AL95" i="1" s="1"/>
  <c r="AI28" i="1"/>
  <c r="AK28" i="1" s="1"/>
  <c r="AL28" i="1" s="1"/>
  <c r="AD20" i="2"/>
  <c r="AI20" i="2"/>
  <c r="AI21" i="1"/>
  <c r="AK21" i="1" s="1"/>
  <c r="AL21" i="1" s="1"/>
  <c r="AC282" i="3"/>
  <c r="O6" i="5" l="1"/>
  <c r="Q6" i="5" s="1"/>
  <c r="R6" i="5" s="1"/>
  <c r="O275" i="3"/>
  <c r="Q275" i="3" s="1"/>
  <c r="R275" i="3" s="1"/>
  <c r="D275" i="3" s="1"/>
  <c r="O312" i="3"/>
  <c r="Q312" i="3" s="1"/>
  <c r="R312" i="3" s="1"/>
  <c r="D312" i="3" s="1"/>
  <c r="O216" i="3"/>
  <c r="Q216" i="3" s="1"/>
  <c r="R216" i="3" s="1"/>
  <c r="D216" i="3" s="1"/>
  <c r="O195" i="3"/>
  <c r="Q195" i="3" s="1"/>
  <c r="R195" i="3" s="1"/>
  <c r="D195" i="3" s="1"/>
  <c r="O7" i="3"/>
  <c r="Q7" i="3" s="1"/>
  <c r="R7" i="3" s="1"/>
  <c r="D7" i="3" s="1"/>
  <c r="O51" i="3"/>
  <c r="Q51" i="3" s="1"/>
  <c r="R51" i="3" s="1"/>
  <c r="D51" i="3" s="1"/>
  <c r="O310" i="3"/>
  <c r="Q310" i="3" s="1"/>
  <c r="R310" i="3" s="1"/>
  <c r="D310" i="3" s="1"/>
  <c r="O233" i="3"/>
  <c r="Q233" i="3" s="1"/>
  <c r="R233" i="3" s="1"/>
  <c r="D233" i="3" s="1"/>
  <c r="O146" i="3"/>
  <c r="Q146" i="3" s="1"/>
  <c r="R146" i="3" s="1"/>
  <c r="D146" i="3" s="1"/>
  <c r="O239" i="3"/>
  <c r="Q239" i="3" s="1"/>
  <c r="R239" i="3" s="1"/>
  <c r="D239" i="3" s="1"/>
  <c r="O135" i="3"/>
  <c r="Q135" i="3" s="1"/>
  <c r="R135" i="3" s="1"/>
  <c r="D135" i="3" s="1"/>
  <c r="O227" i="3"/>
  <c r="Q227" i="3" s="1"/>
  <c r="R227" i="3" s="1"/>
  <c r="D227" i="3" s="1"/>
  <c r="O246" i="3"/>
  <c r="Q246" i="3" s="1"/>
  <c r="R246" i="3" s="1"/>
  <c r="D246" i="3" s="1"/>
  <c r="O84" i="3"/>
  <c r="Q84" i="3" s="1"/>
  <c r="R84" i="3" s="1"/>
  <c r="D84" i="3" s="1"/>
  <c r="O258" i="3"/>
  <c r="Q258" i="3" s="1"/>
  <c r="R258" i="3" s="1"/>
  <c r="D258" i="3" s="1"/>
  <c r="O109" i="3"/>
  <c r="Q109" i="3" s="1"/>
  <c r="R109" i="3" s="1"/>
  <c r="D109" i="3" s="1"/>
  <c r="O93" i="3"/>
  <c r="Q93" i="3" s="1"/>
  <c r="R93" i="3" s="1"/>
  <c r="D93" i="3" s="1"/>
  <c r="O13" i="2"/>
  <c r="Q13" i="2" s="1"/>
  <c r="R13" i="2" s="1"/>
  <c r="D13" i="2" s="1"/>
  <c r="AA6" i="6"/>
  <c r="O6" i="6" s="1"/>
  <c r="Q6" i="6" s="1"/>
  <c r="R6" i="6" s="1"/>
  <c r="D6" i="6" s="1"/>
  <c r="AA51" i="6"/>
  <c r="O51" i="6" s="1"/>
  <c r="Q51" i="6" s="1"/>
  <c r="R51" i="6" s="1"/>
  <c r="D51" i="6" s="1"/>
  <c r="Z13" i="6"/>
  <c r="Z85" i="6"/>
  <c r="Z49" i="6"/>
  <c r="Z149" i="6"/>
  <c r="Z184" i="6"/>
  <c r="Z23" i="2"/>
  <c r="AA23" i="2" s="1"/>
  <c r="Z9" i="2"/>
  <c r="AA9" i="2" s="1"/>
  <c r="Z18" i="5"/>
  <c r="AA18" i="5" s="1"/>
  <c r="O18" i="5" s="1"/>
  <c r="Q18" i="5" s="1"/>
  <c r="R18" i="5" s="1"/>
  <c r="Z21" i="5"/>
  <c r="AA21" i="5" s="1"/>
  <c r="O21" i="5" s="1"/>
  <c r="Q21" i="5" s="1"/>
  <c r="R21" i="5" s="1"/>
  <c r="Z25" i="5"/>
  <c r="AA25" i="5" s="1"/>
  <c r="O25" i="5" s="1"/>
  <c r="Q25" i="5" s="1"/>
  <c r="R25" i="5" s="1"/>
  <c r="AK16" i="6"/>
  <c r="AL16" i="6" s="1"/>
  <c r="X16" i="6" s="1"/>
  <c r="AK13" i="4"/>
  <c r="AL13" i="4" s="1"/>
  <c r="X13" i="4" s="1"/>
  <c r="AK21" i="4"/>
  <c r="AL21" i="4" s="1"/>
  <c r="X21" i="4" s="1"/>
  <c r="AK22" i="4"/>
  <c r="AL22" i="4" s="1"/>
  <c r="AK20" i="4"/>
  <c r="AL20" i="4" s="1"/>
  <c r="X20" i="4" s="1"/>
  <c r="X27" i="1"/>
  <c r="X235" i="1"/>
  <c r="X220" i="1"/>
  <c r="X244" i="1"/>
  <c r="X83" i="1"/>
  <c r="X58" i="1"/>
  <c r="X66" i="1"/>
  <c r="X186" i="1"/>
  <c r="X247" i="1"/>
  <c r="X149" i="1"/>
  <c r="X61" i="1"/>
  <c r="X24" i="1"/>
  <c r="X126" i="1"/>
  <c r="X168" i="1"/>
  <c r="X160" i="1"/>
  <c r="X239" i="1"/>
  <c r="X201" i="1"/>
  <c r="X98" i="1"/>
  <c r="X90" i="1"/>
  <c r="X30" i="1"/>
  <c r="X125" i="1"/>
  <c r="X189" i="1"/>
  <c r="AK18" i="3"/>
  <c r="AL18" i="3" s="1"/>
  <c r="AK287" i="3"/>
  <c r="AL287" i="3" s="1"/>
  <c r="AK225" i="3"/>
  <c r="AL225" i="3" s="1"/>
  <c r="AK148" i="3"/>
  <c r="AL148" i="3" s="1"/>
  <c r="AK193" i="3"/>
  <c r="AL193" i="3" s="1"/>
  <c r="AK59" i="3"/>
  <c r="AL59" i="3" s="1"/>
  <c r="AK112" i="3"/>
  <c r="AL112" i="3" s="1"/>
  <c r="AK141" i="3"/>
  <c r="AL141" i="3" s="1"/>
  <c r="AK282" i="3"/>
  <c r="AL282" i="3" s="1"/>
  <c r="AK8" i="5"/>
  <c r="AL8" i="5" s="1"/>
  <c r="X8" i="5" s="1"/>
  <c r="AC159" i="3"/>
  <c r="AC327" i="3"/>
  <c r="AC10" i="6"/>
  <c r="AK10" i="6" s="1"/>
  <c r="AL10" i="6" s="1"/>
  <c r="X10" i="6" s="1"/>
  <c r="AC23" i="4"/>
  <c r="AC271" i="3"/>
  <c r="AC17" i="3"/>
  <c r="AC14" i="3"/>
  <c r="AC244" i="3"/>
  <c r="AI31" i="2"/>
  <c r="AC31" i="2"/>
  <c r="AC20" i="2"/>
  <c r="AC24" i="2"/>
  <c r="AC19" i="2"/>
  <c r="O9" i="2" l="1"/>
  <c r="Q9" i="2" s="1"/>
  <c r="R9" i="2" s="1"/>
  <c r="D9" i="2" s="1"/>
  <c r="O23" i="2"/>
  <c r="Q23" i="2" s="1"/>
  <c r="R23" i="2" s="1"/>
  <c r="D23" i="2" s="1"/>
  <c r="Z24" i="1"/>
  <c r="AA24" i="1" s="1"/>
  <c r="O24" i="1" s="1"/>
  <c r="Q24" i="1" s="1"/>
  <c r="R24" i="1" s="1"/>
  <c r="D24" i="1" s="1"/>
  <c r="Z66" i="1"/>
  <c r="AA66" i="1" s="1"/>
  <c r="O66" i="1" s="1"/>
  <c r="Q66" i="1" s="1"/>
  <c r="R66" i="1" s="1"/>
  <c r="D66" i="1" s="1"/>
  <c r="Z61" i="1"/>
  <c r="AA61" i="1" s="1"/>
  <c r="O61" i="1" s="1"/>
  <c r="Q61" i="1" s="1"/>
  <c r="R61" i="1" s="1"/>
  <c r="D61" i="1" s="1"/>
  <c r="Z149" i="1"/>
  <c r="AA149" i="1" s="1"/>
  <c r="O149" i="1" s="1"/>
  <c r="Q149" i="1" s="1"/>
  <c r="R149" i="1" s="1"/>
  <c r="D149" i="1" s="1"/>
  <c r="Z189" i="1"/>
  <c r="AA189" i="1" s="1"/>
  <c r="O189" i="1" s="1"/>
  <c r="Q189" i="1" s="1"/>
  <c r="R189" i="1" s="1"/>
  <c r="D189" i="1" s="1"/>
  <c r="Z125" i="1"/>
  <c r="AA125" i="1" s="1"/>
  <c r="O125" i="1" s="1"/>
  <c r="Q125" i="1" s="1"/>
  <c r="R125" i="1" s="1"/>
  <c r="D125" i="1" s="1"/>
  <c r="Z126" i="1"/>
  <c r="AA126" i="1" s="1"/>
  <c r="O126" i="1" s="1"/>
  <c r="Q126" i="1" s="1"/>
  <c r="R126" i="1" s="1"/>
  <c r="D126" i="1" s="1"/>
  <c r="Z247" i="1"/>
  <c r="AA247" i="1" s="1"/>
  <c r="O247" i="1" s="1"/>
  <c r="Q247" i="1" s="1"/>
  <c r="R247" i="1" s="1"/>
  <c r="D247" i="1" s="1"/>
  <c r="Z186" i="1"/>
  <c r="AA186" i="1" s="1"/>
  <c r="O186" i="1" s="1"/>
  <c r="Q186" i="1" s="1"/>
  <c r="R186" i="1" s="1"/>
  <c r="D186" i="1" s="1"/>
  <c r="Z58" i="1"/>
  <c r="AA58" i="1" s="1"/>
  <c r="O58" i="1" s="1"/>
  <c r="Q58" i="1" s="1"/>
  <c r="R58" i="1" s="1"/>
  <c r="D58" i="1" s="1"/>
  <c r="Z83" i="1"/>
  <c r="AA83" i="1" s="1"/>
  <c r="O83" i="1" s="1"/>
  <c r="Q83" i="1" s="1"/>
  <c r="R83" i="1" s="1"/>
  <c r="D83" i="1" s="1"/>
  <c r="Z30" i="1"/>
  <c r="AA30" i="1" s="1"/>
  <c r="O30" i="1" s="1"/>
  <c r="Q30" i="1" s="1"/>
  <c r="R30" i="1" s="1"/>
  <c r="D30" i="1" s="1"/>
  <c r="Z244" i="1"/>
  <c r="AA244" i="1" s="1"/>
  <c r="O244" i="1" s="1"/>
  <c r="Q244" i="1" s="1"/>
  <c r="R244" i="1" s="1"/>
  <c r="D244" i="1" s="1"/>
  <c r="Z90" i="1"/>
  <c r="AA90" i="1" s="1"/>
  <c r="O90" i="1" s="1"/>
  <c r="Q90" i="1" s="1"/>
  <c r="R90" i="1" s="1"/>
  <c r="D90" i="1" s="1"/>
  <c r="Z220" i="1"/>
  <c r="AA220" i="1" s="1"/>
  <c r="O220" i="1" s="1"/>
  <c r="Q220" i="1" s="1"/>
  <c r="R220" i="1" s="1"/>
  <c r="D220" i="1" s="1"/>
  <c r="Z98" i="1"/>
  <c r="AA98" i="1" s="1"/>
  <c r="O98" i="1" s="1"/>
  <c r="Q98" i="1" s="1"/>
  <c r="R98" i="1" s="1"/>
  <c r="D98" i="1" s="1"/>
  <c r="Z235" i="1"/>
  <c r="AA235" i="1" s="1"/>
  <c r="O235" i="1" s="1"/>
  <c r="Q235" i="1" s="1"/>
  <c r="R235" i="1" s="1"/>
  <c r="D235" i="1" s="1"/>
  <c r="Z201" i="1"/>
  <c r="AA201" i="1" s="1"/>
  <c r="O201" i="1" s="1"/>
  <c r="Q201" i="1" s="1"/>
  <c r="R201" i="1" s="1"/>
  <c r="D201" i="1" s="1"/>
  <c r="Z27" i="1"/>
  <c r="AA27" i="1" s="1"/>
  <c r="O27" i="1" s="1"/>
  <c r="Q27" i="1" s="1"/>
  <c r="R27" i="1" s="1"/>
  <c r="D27" i="1" s="1"/>
  <c r="Z239" i="1"/>
  <c r="AA239" i="1" s="1"/>
  <c r="O239" i="1" s="1"/>
  <c r="Q239" i="1" s="1"/>
  <c r="R239" i="1" s="1"/>
  <c r="D239" i="1" s="1"/>
  <c r="Z160" i="1"/>
  <c r="AA160" i="1" s="1"/>
  <c r="O160" i="1" s="1"/>
  <c r="Q160" i="1" s="1"/>
  <c r="R160" i="1" s="1"/>
  <c r="D160" i="1" s="1"/>
  <c r="Z168" i="1"/>
  <c r="AA168" i="1" s="1"/>
  <c r="O168" i="1" s="1"/>
  <c r="Q168" i="1" s="1"/>
  <c r="R168" i="1" s="1"/>
  <c r="D168" i="1" s="1"/>
  <c r="AA184" i="6"/>
  <c r="O184" i="6" s="1"/>
  <c r="Q184" i="6" s="1"/>
  <c r="R184" i="6" s="1"/>
  <c r="D184" i="6" s="1"/>
  <c r="AA13" i="6"/>
  <c r="O13" i="6" s="1"/>
  <c r="Q13" i="6" s="1"/>
  <c r="R13" i="6" s="1"/>
  <c r="D13" i="6" s="1"/>
  <c r="AA85" i="6"/>
  <c r="O85" i="6" s="1"/>
  <c r="Q85" i="6" s="1"/>
  <c r="R85" i="6" s="1"/>
  <c r="D85" i="6" s="1"/>
  <c r="AA149" i="6"/>
  <c r="O149" i="6" s="1"/>
  <c r="Q149" i="6" s="1"/>
  <c r="R149" i="6" s="1"/>
  <c r="D149" i="6" s="1"/>
  <c r="AA49" i="6"/>
  <c r="O49" i="6" s="1"/>
  <c r="Q49" i="6" s="1"/>
  <c r="R49" i="6" s="1"/>
  <c r="D49" i="6" s="1"/>
  <c r="Z16" i="6"/>
  <c r="Z10" i="6"/>
  <c r="Z13" i="4"/>
  <c r="AA13" i="4" s="1"/>
  <c r="Z20" i="4"/>
  <c r="AA20" i="4" s="1"/>
  <c r="Z21" i="4"/>
  <c r="AA21" i="4" s="1"/>
  <c r="Z8" i="5"/>
  <c r="AA8" i="5" s="1"/>
  <c r="O8" i="5" s="1"/>
  <c r="Q8" i="5" s="1"/>
  <c r="R8" i="5" s="1"/>
  <c r="X22" i="4"/>
  <c r="AK23" i="4"/>
  <c r="AL23" i="4" s="1"/>
  <c r="X193" i="3"/>
  <c r="X59" i="3"/>
  <c r="X141" i="3"/>
  <c r="X148" i="3"/>
  <c r="X112" i="3"/>
  <c r="X225" i="3"/>
  <c r="X282" i="3"/>
  <c r="X18" i="3"/>
  <c r="X287" i="3"/>
  <c r="X154" i="1"/>
  <c r="X21" i="1"/>
  <c r="X18" i="1"/>
  <c r="X114" i="1"/>
  <c r="X95" i="1"/>
  <c r="X214" i="1"/>
  <c r="X28" i="1"/>
  <c r="AK244" i="3"/>
  <c r="AL244" i="3" s="1"/>
  <c r="AK14" i="3"/>
  <c r="AL14" i="3" s="1"/>
  <c r="AK271" i="3"/>
  <c r="AL271" i="3" s="1"/>
  <c r="AK17" i="3"/>
  <c r="AL17" i="3" s="1"/>
  <c r="AK327" i="3"/>
  <c r="AL327" i="3" s="1"/>
  <c r="AK159" i="3"/>
  <c r="AL159" i="3" s="1"/>
  <c r="AK19" i="2"/>
  <c r="AL19" i="2" s="1"/>
  <c r="X19" i="2" s="1"/>
  <c r="AK24" i="2"/>
  <c r="AL24" i="2" s="1"/>
  <c r="X24" i="2" s="1"/>
  <c r="AK20" i="2"/>
  <c r="AL20" i="2" s="1"/>
  <c r="X20" i="2" s="1"/>
  <c r="AK31" i="2"/>
  <c r="AL31" i="2" s="1"/>
  <c r="X31" i="2" s="1"/>
  <c r="O21" i="4" l="1"/>
  <c r="Q21" i="4" s="1"/>
  <c r="R21" i="4" s="1"/>
  <c r="D21" i="4" s="1"/>
  <c r="O13" i="4"/>
  <c r="Q13" i="4" s="1"/>
  <c r="R13" i="4" s="1"/>
  <c r="D13" i="4" s="1"/>
  <c r="O20" i="4"/>
  <c r="Q20" i="4" s="1"/>
  <c r="R20" i="4" s="1"/>
  <c r="D20" i="4" s="1"/>
  <c r="Z21" i="1"/>
  <c r="AA21" i="1" s="1"/>
  <c r="O21" i="1" s="1"/>
  <c r="Q21" i="1" s="1"/>
  <c r="R21" i="1" s="1"/>
  <c r="D21" i="1" s="1"/>
  <c r="Z18" i="1"/>
  <c r="AA18" i="1" s="1"/>
  <c r="O18" i="1" s="1"/>
  <c r="Q18" i="1" s="1"/>
  <c r="R18" i="1" s="1"/>
  <c r="D18" i="1" s="1"/>
  <c r="Z154" i="1"/>
  <c r="AA154" i="1" s="1"/>
  <c r="O154" i="1" s="1"/>
  <c r="Q154" i="1" s="1"/>
  <c r="R154" i="1" s="1"/>
  <c r="D154" i="1" s="1"/>
  <c r="Z214" i="1"/>
  <c r="AA214" i="1" s="1"/>
  <c r="O214" i="1" s="1"/>
  <c r="Q214" i="1" s="1"/>
  <c r="R214" i="1" s="1"/>
  <c r="D214" i="1" s="1"/>
  <c r="Z95" i="1"/>
  <c r="AA95" i="1" s="1"/>
  <c r="O95" i="1" s="1"/>
  <c r="Q95" i="1" s="1"/>
  <c r="R95" i="1" s="1"/>
  <c r="D95" i="1" s="1"/>
  <c r="Z114" i="1"/>
  <c r="AA114" i="1" s="1"/>
  <c r="O114" i="1" s="1"/>
  <c r="Q114" i="1" s="1"/>
  <c r="R114" i="1" s="1"/>
  <c r="D114" i="1" s="1"/>
  <c r="Z28" i="1"/>
  <c r="AA28" i="1" s="1"/>
  <c r="O28" i="1" s="1"/>
  <c r="Q28" i="1" s="1"/>
  <c r="R28" i="1" s="1"/>
  <c r="D28" i="1" s="1"/>
  <c r="Z282" i="3"/>
  <c r="AA282" i="3" s="1"/>
  <c r="Z225" i="3"/>
  <c r="AA225" i="3" s="1"/>
  <c r="Z148" i="3"/>
  <c r="AA148" i="3" s="1"/>
  <c r="Z141" i="3"/>
  <c r="AA141" i="3" s="1"/>
  <c r="Z287" i="3"/>
  <c r="AA287" i="3" s="1"/>
  <c r="Z18" i="3"/>
  <c r="AA18" i="3" s="1"/>
  <c r="Z112" i="3"/>
  <c r="AA112" i="3" s="1"/>
  <c r="Z59" i="3"/>
  <c r="AA59" i="3" s="1"/>
  <c r="Z193" i="3"/>
  <c r="AA193" i="3" s="1"/>
  <c r="AA10" i="6"/>
  <c r="O10" i="6" s="1"/>
  <c r="Q10" i="6" s="1"/>
  <c r="R10" i="6" s="1"/>
  <c r="D10" i="6" s="1"/>
  <c r="AA16" i="6"/>
  <c r="O16" i="6" s="1"/>
  <c r="Q16" i="6" s="1"/>
  <c r="R16" i="6" s="1"/>
  <c r="D16" i="6" s="1"/>
  <c r="Z22" i="4"/>
  <c r="AA22" i="4" s="1"/>
  <c r="Z20" i="2"/>
  <c r="AA20" i="2" s="1"/>
  <c r="Z19" i="2"/>
  <c r="AA19" i="2" s="1"/>
  <c r="Z31" i="2"/>
  <c r="AA31" i="2" s="1"/>
  <c r="Z24" i="2"/>
  <c r="AA24" i="2" s="1"/>
  <c r="X23" i="4"/>
  <c r="X327" i="3"/>
  <c r="X159" i="3"/>
  <c r="X271" i="3"/>
  <c r="X17" i="3"/>
  <c r="X14" i="3"/>
  <c r="X244" i="3"/>
  <c r="AJ12" i="8"/>
  <c r="AK12" i="8" s="1"/>
  <c r="W12" i="8" s="1"/>
  <c r="O22" i="4" l="1"/>
  <c r="Q22" i="4" s="1"/>
  <c r="R22" i="4" s="1"/>
  <c r="D22" i="4" s="1"/>
  <c r="O59" i="3"/>
  <c r="Q59" i="3" s="1"/>
  <c r="R59" i="3" s="1"/>
  <c r="D59" i="3" s="1"/>
  <c r="O141" i="3"/>
  <c r="Q141" i="3" s="1"/>
  <c r="R141" i="3" s="1"/>
  <c r="D141" i="3" s="1"/>
  <c r="O112" i="3"/>
  <c r="Q112" i="3" s="1"/>
  <c r="R112" i="3" s="1"/>
  <c r="D112" i="3" s="1"/>
  <c r="O287" i="3"/>
  <c r="Q287" i="3" s="1"/>
  <c r="R287" i="3" s="1"/>
  <c r="D287" i="3" s="1"/>
  <c r="O282" i="3"/>
  <c r="Q282" i="3" s="1"/>
  <c r="R282" i="3" s="1"/>
  <c r="D282" i="3" s="1"/>
  <c r="O148" i="3"/>
  <c r="Q148" i="3" s="1"/>
  <c r="R148" i="3" s="1"/>
  <c r="D148" i="3" s="1"/>
  <c r="O18" i="3"/>
  <c r="Q18" i="3" s="1"/>
  <c r="R18" i="3" s="1"/>
  <c r="D18" i="3" s="1"/>
  <c r="O225" i="3"/>
  <c r="Q225" i="3" s="1"/>
  <c r="R225" i="3" s="1"/>
  <c r="D225" i="3" s="1"/>
  <c r="O193" i="3"/>
  <c r="Q193" i="3" s="1"/>
  <c r="R193" i="3" s="1"/>
  <c r="D193" i="3" s="1"/>
  <c r="O24" i="2"/>
  <c r="Q24" i="2" s="1"/>
  <c r="R24" i="2" s="1"/>
  <c r="D24" i="2" s="1"/>
  <c r="O31" i="2"/>
  <c r="Q31" i="2" s="1"/>
  <c r="R31" i="2" s="1"/>
  <c r="D31" i="2" s="1"/>
  <c r="O19" i="2"/>
  <c r="Q19" i="2" s="1"/>
  <c r="R19" i="2" s="1"/>
  <c r="D19" i="2" s="1"/>
  <c r="O20" i="2"/>
  <c r="Q20" i="2" s="1"/>
  <c r="R20" i="2" s="1"/>
  <c r="D20" i="2" s="1"/>
  <c r="Z244" i="3"/>
  <c r="AA244" i="3" s="1"/>
  <c r="Z159" i="3"/>
  <c r="AA159" i="3" s="1"/>
  <c r="Z327" i="3"/>
  <c r="AA327" i="3" s="1"/>
  <c r="Z14" i="3"/>
  <c r="AA14" i="3" s="1"/>
  <c r="Z17" i="3"/>
  <c r="AA17" i="3" s="1"/>
  <c r="Z271" i="3"/>
  <c r="AA271" i="3" s="1"/>
  <c r="Y12" i="8"/>
  <c r="Z23" i="4"/>
  <c r="AA23" i="4" s="1"/>
  <c r="O23" i="4" l="1"/>
  <c r="Q23" i="4" s="1"/>
  <c r="R23" i="4" s="1"/>
  <c r="D23" i="4" s="1"/>
  <c r="O271" i="3"/>
  <c r="Q271" i="3" s="1"/>
  <c r="R271" i="3" s="1"/>
  <c r="D271" i="3" s="1"/>
  <c r="O14" i="3"/>
  <c r="O17" i="3"/>
  <c r="Q17" i="3" s="1"/>
  <c r="R17" i="3" s="1"/>
  <c r="D17" i="3" s="1"/>
  <c r="O327" i="3"/>
  <c r="Q327" i="3" s="1"/>
  <c r="R327" i="3" s="1"/>
  <c r="D327" i="3" s="1"/>
  <c r="O244" i="3"/>
  <c r="Q244" i="3" s="1"/>
  <c r="R244" i="3" s="1"/>
  <c r="D244" i="3" s="1"/>
  <c r="O159" i="3"/>
  <c r="Q159" i="3" s="1"/>
  <c r="R159" i="3" s="1"/>
  <c r="D159" i="3" s="1"/>
  <c r="Z12" i="8"/>
  <c r="N12" i="8" s="1"/>
  <c r="P12" i="8" s="1"/>
  <c r="Q12" i="8" s="1"/>
  <c r="D12" i="8" s="1"/>
  <c r="AA45" i="3"/>
  <c r="AA6" i="1"/>
  <c r="O6" i="1" s="1"/>
  <c r="Q6" i="1" s="1"/>
  <c r="R6" i="1" s="1"/>
  <c r="D6" i="1" s="1"/>
  <c r="Q14" i="3" l="1"/>
  <c r="R14" i="3" s="1"/>
  <c r="D14" i="3" s="1"/>
  <c r="O45" i="3"/>
  <c r="Q45" i="3" s="1"/>
  <c r="R45" i="3" s="1"/>
  <c r="D45" i="3" s="1"/>
  <c r="R208" i="6" l="1"/>
  <c r="D208" i="6" s="1"/>
</calcChain>
</file>

<file path=xl/sharedStrings.xml><?xml version="1.0" encoding="utf-8"?>
<sst xmlns="http://schemas.openxmlformats.org/spreadsheetml/2006/main" count="2567" uniqueCount="1222">
  <si>
    <t>Born 2 Dance</t>
  </si>
  <si>
    <t>Uzvārds, Vārds</t>
  </si>
  <si>
    <t>Deju studija</t>
  </si>
  <si>
    <t>Dz. gads</t>
  </si>
  <si>
    <t>Ziema</t>
  </si>
  <si>
    <t>Nedalāmie punkti</t>
  </si>
  <si>
    <t>Night&amp;Day</t>
  </si>
  <si>
    <t>Kaprīze</t>
  </si>
  <si>
    <t>Backstage</t>
  </si>
  <si>
    <t>Legzdiņa Dana</t>
  </si>
  <si>
    <t>Children female</t>
  </si>
  <si>
    <t>Juniors Female</t>
  </si>
  <si>
    <t>Adults Female</t>
  </si>
  <si>
    <t>1. līga</t>
  </si>
  <si>
    <t>2. līga</t>
  </si>
  <si>
    <t>Iesācēji</t>
  </si>
  <si>
    <t>Ļevdanskis Nikita</t>
  </si>
  <si>
    <t>Pluce Paula</t>
  </si>
  <si>
    <t>Skodorova Valērija</t>
  </si>
  <si>
    <t>Dzelzīte Marta</t>
  </si>
  <si>
    <t>Zabarovska Linda</t>
  </si>
  <si>
    <t>Skuja Anna Katrīna</t>
  </si>
  <si>
    <t>Grohovska Kristīne</t>
  </si>
  <si>
    <t>Deju studija DEMO</t>
  </si>
  <si>
    <t>Kraukle Evelīna</t>
  </si>
  <si>
    <t>Gutreia Aleksandra</t>
  </si>
  <si>
    <t>Īstenā Jasmīne</t>
  </si>
  <si>
    <t>Barānovs Aleksandrs</t>
  </si>
  <si>
    <t>Geidāns Dominiks</t>
  </si>
  <si>
    <t>Fjodorovs Dāniels</t>
  </si>
  <si>
    <t>Stankus Veronika</t>
  </si>
  <si>
    <t xml:space="preserve">    Adults Male</t>
  </si>
  <si>
    <t>Kuļiša Adelīna</t>
  </si>
  <si>
    <t>Tropa Patricija</t>
  </si>
  <si>
    <t>Punkti uz 2022 g. sākumu</t>
  </si>
  <si>
    <t>Mini Kids</t>
  </si>
  <si>
    <t>Night&amp;Day Studio</t>
  </si>
  <si>
    <t>2.līga</t>
  </si>
  <si>
    <t>Jeļisejeva Keita</t>
  </si>
  <si>
    <t>Veinberga Ulrika</t>
  </si>
  <si>
    <t>LBJC Tabernacle Dance Studio</t>
  </si>
  <si>
    <t>BACKSTAGE ART CENTER</t>
  </si>
  <si>
    <t xml:space="preserve">Laipnieca Andžela </t>
  </si>
  <si>
    <t xml:space="preserve">Aleksandrova Emīlija </t>
  </si>
  <si>
    <t xml:space="preserve">Grohovska Miroslava </t>
  </si>
  <si>
    <t xml:space="preserve">Čerpinska Nikola </t>
  </si>
  <si>
    <t xml:space="preserve">Ničaja Sondra </t>
  </si>
  <si>
    <t>Grohovska Zlata</t>
  </si>
  <si>
    <t>Lazdiņa Emīlija</t>
  </si>
  <si>
    <t>Rava Leila Marta</t>
  </si>
  <si>
    <t>Savicka Kerija Anete</t>
  </si>
  <si>
    <t>Pūkaine Loreta</t>
  </si>
  <si>
    <t>Demo</t>
  </si>
  <si>
    <t>Survillo Justīne</t>
  </si>
  <si>
    <t>Žieda Evelīna</t>
  </si>
  <si>
    <t>Rutkovska Vanesa</t>
  </si>
  <si>
    <t xml:space="preserve">Skudra Sabīne </t>
  </si>
  <si>
    <t xml:space="preserve">Tereščenko Aļesja </t>
  </si>
  <si>
    <t xml:space="preserve">Jansone Sāra </t>
  </si>
  <si>
    <t>Pudāns Mikus</t>
  </si>
  <si>
    <t>Juniors Male</t>
  </si>
  <si>
    <t>Children Male</t>
  </si>
  <si>
    <t>Daugavpils Open</t>
  </si>
  <si>
    <t>BACKSTAGE Art Center</t>
  </si>
  <si>
    <t>STOPTIME</t>
  </si>
  <si>
    <t>Usačova Adriana</t>
  </si>
  <si>
    <t xml:space="preserve">Mīļa Ariana </t>
  </si>
  <si>
    <t xml:space="preserve">Urbanoviča Darja </t>
  </si>
  <si>
    <t xml:space="preserve">Baikova Elizavete </t>
  </si>
  <si>
    <t xml:space="preserve">Naruševiča Evelīna </t>
  </si>
  <si>
    <t xml:space="preserve">Jakubāne Ieva </t>
  </si>
  <si>
    <t xml:space="preserve">Sabule Keita </t>
  </si>
  <si>
    <t xml:space="preserve">Vasiļjeva Ksenija </t>
  </si>
  <si>
    <t xml:space="preserve">Spiridonovs Leons </t>
  </si>
  <si>
    <t xml:space="preserve">Kļava Marta Adriāna </t>
  </si>
  <si>
    <t xml:space="preserve">Servute Mija </t>
  </si>
  <si>
    <t xml:space="preserve">Karbutoviča Nellija </t>
  </si>
  <si>
    <t xml:space="preserve">Sporihins Nikas </t>
  </si>
  <si>
    <t xml:space="preserve">Rozenbilde Odrija </t>
  </si>
  <si>
    <t xml:space="preserve">Portnaja Oksana </t>
  </si>
  <si>
    <t xml:space="preserve">Rudzīte Rebeka </t>
  </si>
  <si>
    <t xml:space="preserve">Zelčs Roberts </t>
  </si>
  <si>
    <t xml:space="preserve">Tauriņš Rodrigo </t>
  </si>
  <si>
    <t>Grīnfelde Samanta</t>
  </si>
  <si>
    <t xml:space="preserve">Freiberga Zane </t>
  </si>
  <si>
    <t>STOPTIME Rēzekne</t>
  </si>
  <si>
    <t>Veizāna deju skola</t>
  </si>
  <si>
    <t>Dance Beat</t>
  </si>
  <si>
    <t xml:space="preserve">Tihonoviča Maija </t>
  </si>
  <si>
    <t xml:space="preserve">Rumjanceva Alisa </t>
  </si>
  <si>
    <t xml:space="preserve">Novikova Ariana </t>
  </si>
  <si>
    <t>Jasinska Adrianna</t>
  </si>
  <si>
    <t xml:space="preserve">Pokšāne Daniela </t>
  </si>
  <si>
    <t xml:space="preserve">Melberga Žaklīna </t>
  </si>
  <si>
    <t xml:space="preserve">Stole Sofija </t>
  </si>
  <si>
    <t>Mitkeviča Annija</t>
  </si>
  <si>
    <t xml:space="preserve">Zariņa Elīza </t>
  </si>
  <si>
    <t xml:space="preserve">Murāne Gabriela </t>
  </si>
  <si>
    <t xml:space="preserve">Mennika Madara </t>
  </si>
  <si>
    <t xml:space="preserve">Vjakse Santa Marija </t>
  </si>
  <si>
    <t xml:space="preserve">Pušmūcans Emils </t>
  </si>
  <si>
    <t xml:space="preserve">Lakomko Daniela </t>
  </si>
  <si>
    <t xml:space="preserve">Anufrieva Agata </t>
  </si>
  <si>
    <t xml:space="preserve">Užule Loreta </t>
  </si>
  <si>
    <t xml:space="preserve">Šatrovs Artjoms </t>
  </si>
  <si>
    <t xml:space="preserve">Lukša Emils </t>
  </si>
  <si>
    <t xml:space="preserve">Davidovskis Oskars </t>
  </si>
  <si>
    <t xml:space="preserve">Gailišs Edgars </t>
  </si>
  <si>
    <t xml:space="preserve">Stirniņš Justs </t>
  </si>
  <si>
    <t xml:space="preserve">Uksliņš Rodrigo </t>
  </si>
  <si>
    <t xml:space="preserve">Rutko Rūdolfs </t>
  </si>
  <si>
    <t>Studio Let's dance</t>
  </si>
  <si>
    <t xml:space="preserve">Vatčenko Jeļizaveta </t>
  </si>
  <si>
    <t xml:space="preserve">Griķe Marta Marija </t>
  </si>
  <si>
    <t xml:space="preserve">Akopova Katrīna </t>
  </si>
  <si>
    <t xml:space="preserve">Zīmele Madara </t>
  </si>
  <si>
    <t xml:space="preserve">Korpenko Valerija </t>
  </si>
  <si>
    <t xml:space="preserve">Bērziņa Lote Laura </t>
  </si>
  <si>
    <t xml:space="preserve">Raka Patricija </t>
  </si>
  <si>
    <t xml:space="preserve">Ozoliņa Šarlote </t>
  </si>
  <si>
    <t xml:space="preserve">Kalniņa Klaudija </t>
  </si>
  <si>
    <t xml:space="preserve">Burenkova Viktorija </t>
  </si>
  <si>
    <t xml:space="preserve">Belindževa Kristena </t>
  </si>
  <si>
    <t xml:space="preserve">Kolomijeca Ilona </t>
  </si>
  <si>
    <t>Cvetkova Darja</t>
  </si>
  <si>
    <t xml:space="preserve">Siliniece Madara Dārta </t>
  </si>
  <si>
    <t xml:space="preserve">Frīdriha Vikrotija </t>
  </si>
  <si>
    <t xml:space="preserve">Dobrovoļska Anna- Marija </t>
  </si>
  <si>
    <t>Berga Paula</t>
  </si>
  <si>
    <t xml:space="preserve">Semjonova Marjana </t>
  </si>
  <si>
    <t xml:space="preserve">Verņicka Sofija </t>
  </si>
  <si>
    <t xml:space="preserve">Baļeva Viktorija </t>
  </si>
  <si>
    <t xml:space="preserve">Čornaja Anna </t>
  </si>
  <si>
    <t xml:space="preserve">Logina Estere </t>
  </si>
  <si>
    <t xml:space="preserve">Utkina Evelīna </t>
  </si>
  <si>
    <t xml:space="preserve">Cirmane Ieva </t>
  </si>
  <si>
    <t xml:space="preserve">Stahovskis Ilja </t>
  </si>
  <si>
    <t xml:space="preserve">Trofimova Jekaterina </t>
  </si>
  <si>
    <t xml:space="preserve">Lukša Nikola </t>
  </si>
  <si>
    <t xml:space="preserve">Gavriļenkova Alise </t>
  </si>
  <si>
    <t xml:space="preserve">Tjuļeneva Alise </t>
  </si>
  <si>
    <t xml:space="preserve">Rosovska Amālija </t>
  </si>
  <si>
    <t xml:space="preserve">Lindenova Milana </t>
  </si>
  <si>
    <t xml:space="preserve">Jakuševska Mišele </t>
  </si>
  <si>
    <t xml:space="preserve">Križanovska Selīna </t>
  </si>
  <si>
    <t xml:space="preserve">Kolosova Sofija </t>
  </si>
  <si>
    <t xml:space="preserve">Ilgina Arīna </t>
  </si>
  <si>
    <t>Zemzare Nikola</t>
  </si>
  <si>
    <t xml:space="preserve">Auziņa Amanda </t>
  </si>
  <si>
    <t xml:space="preserve">Misiņa Anna </t>
  </si>
  <si>
    <t xml:space="preserve">Umbraško Anna </t>
  </si>
  <si>
    <t xml:space="preserve">Podjava Bernadetta </t>
  </si>
  <si>
    <t xml:space="preserve">Vasjanova Darina </t>
  </si>
  <si>
    <t xml:space="preserve">Meirāne Diāna </t>
  </si>
  <si>
    <t>Mikena Elīza Daniela</t>
  </si>
  <si>
    <t xml:space="preserve">Vasiļjeva Everita </t>
  </si>
  <si>
    <t xml:space="preserve">Rēiha Greta </t>
  </si>
  <si>
    <t xml:space="preserve">Putniņa Ieva </t>
  </si>
  <si>
    <t xml:space="preserve">Mihailova Jana </t>
  </si>
  <si>
    <t xml:space="preserve">Kozlovska Jaroslava </t>
  </si>
  <si>
    <t xml:space="preserve">Kuzņecova Karolina </t>
  </si>
  <si>
    <t xml:space="preserve">Kočubeja Kristiāna </t>
  </si>
  <si>
    <t>Vilmane Laura</t>
  </si>
  <si>
    <t xml:space="preserve">Montvide Liāna </t>
  </si>
  <si>
    <t xml:space="preserve">Marčenko Marija </t>
  </si>
  <si>
    <t xml:space="preserve">Govjadina Poļina </t>
  </si>
  <si>
    <t xml:space="preserve">Mihailova Sofija </t>
  </si>
  <si>
    <t>Tarasova Veronika</t>
  </si>
  <si>
    <t xml:space="preserve">Tereņina Veronika </t>
  </si>
  <si>
    <t xml:space="preserve">Kozlenkova Yevheniia </t>
  </si>
  <si>
    <t xml:space="preserve">Borisjuka Valērija </t>
  </si>
  <si>
    <t xml:space="preserve">Paluhina Sofija </t>
  </si>
  <si>
    <t xml:space="preserve">Laminska Diāna </t>
  </si>
  <si>
    <t xml:space="preserve">Popkova Arianna </t>
  </si>
  <si>
    <t>Bordāne Nellija</t>
  </si>
  <si>
    <t xml:space="preserve">Ozola Sigita </t>
  </si>
  <si>
    <t xml:space="preserve">Melne Sintija </t>
  </si>
  <si>
    <t xml:space="preserve">Kaupere Dita Kate </t>
  </si>
  <si>
    <t xml:space="preserve">Grīnberga Rūta </t>
  </si>
  <si>
    <t>Tukāne Sabīna</t>
  </si>
  <si>
    <t xml:space="preserve">Soboleva Viktorija </t>
  </si>
  <si>
    <t xml:space="preserve">Sproģe Terēze </t>
  </si>
  <si>
    <t xml:space="preserve">Gutoroviča Valērija </t>
  </si>
  <si>
    <t xml:space="preserve">Jasiūna Zane </t>
  </si>
  <si>
    <t xml:space="preserve">Drauga Tīna </t>
  </si>
  <si>
    <t>Vinokurova Anželika</t>
  </si>
  <si>
    <t xml:space="preserve">Nitiša Jana </t>
  </si>
  <si>
    <t xml:space="preserve">Veinberga Loreta </t>
  </si>
  <si>
    <t xml:space="preserve">Čerņcova Milana </t>
  </si>
  <si>
    <t xml:space="preserve">Daukšte Bekija Anete </t>
  </si>
  <si>
    <t xml:space="preserve">Stauro Agnese </t>
  </si>
  <si>
    <t>Kalniņa Alise</t>
  </si>
  <si>
    <t xml:space="preserve">Kostrodimova Kamila </t>
  </si>
  <si>
    <t xml:space="preserve">Muižniece Katrīna </t>
  </si>
  <si>
    <t xml:space="preserve">Pavarda Brenda </t>
  </si>
  <si>
    <t xml:space="preserve">Cimiņa Anna </t>
  </si>
  <si>
    <t xml:space="preserve">Ābele Elīza </t>
  </si>
  <si>
    <t xml:space="preserve">Gulbe Kitija </t>
  </si>
  <si>
    <t xml:space="preserve">Vikmane Lote </t>
  </si>
  <si>
    <t xml:space="preserve">Žilinska Luīze </t>
  </si>
  <si>
    <t xml:space="preserve">Moreva Valērija </t>
  </si>
  <si>
    <t xml:space="preserve">Klišāne Marija </t>
  </si>
  <si>
    <t xml:space="preserve">Federeks Leo </t>
  </si>
  <si>
    <t xml:space="preserve">Ozoliņš Olivers </t>
  </si>
  <si>
    <t xml:space="preserve">Miķelāns Tomass </t>
  </si>
  <si>
    <t xml:space="preserve">Mitrevics Valters </t>
  </si>
  <si>
    <t>Kavaļeristovs Krišjānis</t>
  </si>
  <si>
    <t xml:space="preserve">Vecvērdiņš Deivs </t>
  </si>
  <si>
    <t xml:space="preserve">Jukšs Daniils </t>
  </si>
  <si>
    <t xml:space="preserve">Rakute Jekaterina </t>
  </si>
  <si>
    <t xml:space="preserve">Dubrovska Anna </t>
  </si>
  <si>
    <t xml:space="preserve">Dance Ketija Katerina </t>
  </si>
  <si>
    <t xml:space="preserve">Šulca Elīza </t>
  </si>
  <si>
    <t xml:space="preserve">Kiku Valērija </t>
  </si>
  <si>
    <t xml:space="preserve">Bērziņa Madara </t>
  </si>
  <si>
    <t xml:space="preserve">Veinberga Sintija </t>
  </si>
  <si>
    <t xml:space="preserve">Hēla Keita </t>
  </si>
  <si>
    <t xml:space="preserve">Semjonova Veronika </t>
  </si>
  <si>
    <t xml:space="preserve">Vickopa Elīna </t>
  </si>
  <si>
    <t xml:space="preserve">Braumane Linda </t>
  </si>
  <si>
    <t xml:space="preserve">Sitko Nikola </t>
  </si>
  <si>
    <t xml:space="preserve">Gruzdiņa Rēzija </t>
  </si>
  <si>
    <t xml:space="preserve">Matvejeva Violeta </t>
  </si>
  <si>
    <t xml:space="preserve">Jēkabsons  Jeremijs </t>
  </si>
  <si>
    <t xml:space="preserve">Lapinsks Feliks </t>
  </si>
  <si>
    <t>Zvirgzdiņa Melisa</t>
  </si>
  <si>
    <t>Brizga Enija</t>
  </si>
  <si>
    <t>Soldatenoka Milāna</t>
  </si>
  <si>
    <t>Pavasaris</t>
  </si>
  <si>
    <t xml:space="preserve">Baranovska Viktorija </t>
  </si>
  <si>
    <t>Briede Amēlija</t>
  </si>
  <si>
    <t>Xeny Dance Studio</t>
  </si>
  <si>
    <t>Baza Dance Company</t>
  </si>
  <si>
    <t xml:space="preserve">Girgina Ganriela </t>
  </si>
  <si>
    <t>Striško Valērija</t>
  </si>
  <si>
    <t xml:space="preserve">Martyniuk Emiliia </t>
  </si>
  <si>
    <t>Burča Poļina</t>
  </si>
  <si>
    <t xml:space="preserve">Viļčevska Vlada </t>
  </si>
  <si>
    <t>Bredihina Alisa</t>
  </si>
  <si>
    <t xml:space="preserve">Pižova Alisa </t>
  </si>
  <si>
    <t xml:space="preserve">Kobka Emilija </t>
  </si>
  <si>
    <t>Ūzuliņa Luisa Marija</t>
  </si>
  <si>
    <t>DI-DANCERS</t>
  </si>
  <si>
    <t>Stepanova Ieva</t>
  </si>
  <si>
    <t>Razgale Ketrīna</t>
  </si>
  <si>
    <t xml:space="preserve">Marčuka-Žurkova Patrīcija </t>
  </si>
  <si>
    <t xml:space="preserve">Rennova Аlisa </t>
  </si>
  <si>
    <t>Petrova Erika</t>
  </si>
  <si>
    <t xml:space="preserve">Vancere Ešlija </t>
  </si>
  <si>
    <t xml:space="preserve">Glazkova Valerija </t>
  </si>
  <si>
    <t xml:space="preserve">Mitrofanova Ksenija </t>
  </si>
  <si>
    <t xml:space="preserve">Gontarjova Anastasija </t>
  </si>
  <si>
    <t xml:space="preserve">Tuzova Ksenija </t>
  </si>
  <si>
    <t xml:space="preserve">Capova Valerija </t>
  </si>
  <si>
    <t xml:space="preserve">Kārkliņa Maija </t>
  </si>
  <si>
    <t xml:space="preserve">Sjuldina Valerija </t>
  </si>
  <si>
    <t xml:space="preserve">Kuzmina Valerija </t>
  </si>
  <si>
    <t>Dmitrijeva Anna</t>
  </si>
  <si>
    <t>Rone Loreta</t>
  </si>
  <si>
    <t>Sokolova Dinara</t>
  </si>
  <si>
    <t>Kostina Eleonora</t>
  </si>
  <si>
    <t>Ziemele Paula</t>
  </si>
  <si>
    <t>Parfinoviča Mia Marija</t>
  </si>
  <si>
    <t>Meļņikova Alise</t>
  </si>
  <si>
    <t>Bleidere Anna</t>
  </si>
  <si>
    <t>Petrišins Kirills</t>
  </si>
  <si>
    <t>Grinčuks Kirills</t>
  </si>
  <si>
    <t xml:space="preserve">Ļašenko Georgs </t>
  </si>
  <si>
    <t>Auzenbergs Elgars</t>
  </si>
  <si>
    <t>Viakse Deniss</t>
  </si>
  <si>
    <t>Bumbieris Maksims</t>
  </si>
  <si>
    <t>Dzalbe Kamila</t>
  </si>
  <si>
    <t xml:space="preserve">Karačunskaja Alisa </t>
  </si>
  <si>
    <t>Dance of Street</t>
  </si>
  <si>
    <t>Bērziņa Elīza</t>
  </si>
  <si>
    <t>Bizonova Ieva</t>
  </si>
  <si>
    <t>Erkmane Elizabete</t>
  </si>
  <si>
    <t xml:space="preserve">Blazevica Amina </t>
  </si>
  <si>
    <t xml:space="preserve">Vasiļjeva Anastasija </t>
  </si>
  <si>
    <t>Lisina Zlata</t>
  </si>
  <si>
    <t xml:space="preserve">Berzina Yasna </t>
  </si>
  <si>
    <t xml:space="preserve">Marčuka-Žurkova Beatrise </t>
  </si>
  <si>
    <t xml:space="preserve">Miteniece Мilana </t>
  </si>
  <si>
    <t>Gorbunova Milana</t>
  </si>
  <si>
    <t>Mitkeviča Ksenija</t>
  </si>
  <si>
    <t>Homma Sofija</t>
  </si>
  <si>
    <t>Gurova Taisija</t>
  </si>
  <si>
    <t>Zujeva Viktorija</t>
  </si>
  <si>
    <t>Apine Alina</t>
  </si>
  <si>
    <t xml:space="preserve">Čekmarjova Katrīna </t>
  </si>
  <si>
    <t>Peļņika Poļina</t>
  </si>
  <si>
    <t>Ivenkova Maija</t>
  </si>
  <si>
    <t>Latvian Open</t>
  </si>
  <si>
    <t>Siliņa Elīna</t>
  </si>
  <si>
    <t>Dmitrijeva Miroslava</t>
  </si>
  <si>
    <t>Kmeta Milana</t>
  </si>
  <si>
    <t>Antonova Mia</t>
  </si>
  <si>
    <t>Let's Dance</t>
  </si>
  <si>
    <t xml:space="preserve">Semjonovs Aleksejs </t>
  </si>
  <si>
    <t xml:space="preserve">Sidorenkovs Ļevs </t>
  </si>
  <si>
    <t>XDS</t>
  </si>
  <si>
    <t>Sosnova Arina</t>
  </si>
  <si>
    <t>Zaiceva Darja</t>
  </si>
  <si>
    <t>Staļģeviča Santa</t>
  </si>
  <si>
    <t>Lasmane Adriana</t>
  </si>
  <si>
    <t>Ozola Sofija</t>
  </si>
  <si>
    <t>Kārkliņa Justīne</t>
  </si>
  <si>
    <t>Miļuna Eliāna</t>
  </si>
  <si>
    <t>Prudivus Līna</t>
  </si>
  <si>
    <t>Lemkina Elizabete</t>
  </si>
  <si>
    <t>Petkuna Elīna</t>
  </si>
  <si>
    <t>Dzalbe Olīvija</t>
  </si>
  <si>
    <t>Vizbule Valērija</t>
  </si>
  <si>
    <t>Dubova Darja</t>
  </si>
  <si>
    <t>Vaščilko Sofija</t>
  </si>
  <si>
    <t>Jumaeva Nika</t>
  </si>
  <si>
    <t>Vagale Nikola</t>
  </si>
  <si>
    <t>Rešmidilova Arina</t>
  </si>
  <si>
    <t>Damcenko Melissa</t>
  </si>
  <si>
    <t>Andrejeva Beatrise</t>
  </si>
  <si>
    <t>Zagumjonnova Ksenija</t>
  </si>
  <si>
    <t>Golojad Timur</t>
  </si>
  <si>
    <t>Misjuka Margarita</t>
  </si>
  <si>
    <t>Jarniha Valērija</t>
  </si>
  <si>
    <t>Auguste Anete Una</t>
  </si>
  <si>
    <t>Tērnere Luīze Eleina</t>
  </si>
  <si>
    <t>Gorbunova Vlada</t>
  </si>
  <si>
    <t>Fišere Darina</t>
  </si>
  <si>
    <t>Kalinkeviča Monta</t>
  </si>
  <si>
    <t>Buļipopa Anna</t>
  </si>
  <si>
    <t>Tautiete Luīze</t>
  </si>
  <si>
    <t>Konstantinova Nellija</t>
  </si>
  <si>
    <t>Konstantinova Anna</t>
  </si>
  <si>
    <t>Ļipuncova Beatrise</t>
  </si>
  <si>
    <t>Poļakova Poļina</t>
  </si>
  <si>
    <t>Burashnikova Jekaterina</t>
  </si>
  <si>
    <t>Protizāne Mikeila</t>
  </si>
  <si>
    <t>Džeriņa Katrīna</t>
  </si>
  <si>
    <t>Stakinova Annija</t>
  </si>
  <si>
    <t>Bogdanova Gabija Elizabete</t>
  </si>
  <si>
    <t>Buzmakova Aurēlija</t>
  </si>
  <si>
    <t>Smirnova Olīvija</t>
  </si>
  <si>
    <t>Borodins Aleksandrs</t>
  </si>
  <si>
    <t>Kaufmanis Gustavs</t>
  </si>
  <si>
    <t>Feceris Tomass</t>
  </si>
  <si>
    <t>Zimnohs Klāvs Zigmunds</t>
  </si>
  <si>
    <t>Moora Līga</t>
  </si>
  <si>
    <t>Grigorjeva Anfisa</t>
  </si>
  <si>
    <t>Tihomirova Valērija</t>
  </si>
  <si>
    <t>Višņakova Madara</t>
  </si>
  <si>
    <t>Rosmane Keita</t>
  </si>
  <si>
    <t>Eltermane Adriana</t>
  </si>
  <si>
    <t>Brākša Kristiāna</t>
  </si>
  <si>
    <t>Ozoliņa Elizabete</t>
  </si>
  <si>
    <t>Kazenko Elizabete</t>
  </si>
  <si>
    <t>Meškova Kerija</t>
  </si>
  <si>
    <t>Vavilova Darina</t>
  </si>
  <si>
    <t>Ļvova Marija</t>
  </si>
  <si>
    <t>Poļivkina Marija</t>
  </si>
  <si>
    <t>Dūša Skārleta</t>
  </si>
  <si>
    <t>Abakumova Valērija</t>
  </si>
  <si>
    <t>Bobova Lana</t>
  </si>
  <si>
    <t>Frolova Daniela</t>
  </si>
  <si>
    <t>Stafecka Samanta</t>
  </si>
  <si>
    <t>Geraščenko Alīna</t>
  </si>
  <si>
    <t>Bergmane Patrīcija</t>
  </si>
  <si>
    <t>Kirika Patrīcija Nikola</t>
  </si>
  <si>
    <t>Lāce Keita</t>
  </si>
  <si>
    <t>Podobeda Anna</t>
  </si>
  <si>
    <t>Podobeda Sofija</t>
  </si>
  <si>
    <t>Burashnikov Maksim</t>
  </si>
  <si>
    <t>Ufarkin Leo</t>
  </si>
  <si>
    <t>Gorbunovs Natans</t>
  </si>
  <si>
    <t>Jakovenko Mihails</t>
  </si>
  <si>
    <t>Backstage Art Center</t>
  </si>
  <si>
    <t>Znotiņa Marta</t>
  </si>
  <si>
    <t>Nikolajeva Ksenija</t>
  </si>
  <si>
    <t>Abdrašitova Jana</t>
  </si>
  <si>
    <t>Iekļava Baiba</t>
  </si>
  <si>
    <t>Pereligina Anna</t>
  </si>
  <si>
    <t>Todes</t>
  </si>
  <si>
    <t>Gorbuzova Arina</t>
  </si>
  <si>
    <t>Vorobjova Liana</t>
  </si>
  <si>
    <t>Marčenko Milana</t>
  </si>
  <si>
    <t>Parfinoviča Agata</t>
  </si>
  <si>
    <t>Satina Elizaveta</t>
  </si>
  <si>
    <t>Mēriņa Melisa</t>
  </si>
  <si>
    <t>Dinula Darja</t>
  </si>
  <si>
    <t>Voitenkova Anastasija</t>
  </si>
  <si>
    <t>Saveļjeva Sofija</t>
  </si>
  <si>
    <t>Proshin Timur</t>
  </si>
  <si>
    <t>Yakovele Iya</t>
  </si>
  <si>
    <t>Dancessimus</t>
  </si>
  <si>
    <t>Zariņa Enija</t>
  </si>
  <si>
    <t>Polukejeva Angelina</t>
  </si>
  <si>
    <t>Zīle Kristiāna</t>
  </si>
  <si>
    <t>Kovaļevska Marta</t>
  </si>
  <si>
    <t>Loskutova Anna</t>
  </si>
  <si>
    <t>Eydina Gerda</t>
  </si>
  <si>
    <t>Usane Sofija</t>
  </si>
  <si>
    <t>Zeltiņa Sofija Anna</t>
  </si>
  <si>
    <t>Andrejenkova Anastasija</t>
  </si>
  <si>
    <t>Manuilova Arina</t>
  </si>
  <si>
    <t>Bobrova Arina</t>
  </si>
  <si>
    <t>Motoro Liāna</t>
  </si>
  <si>
    <t>Lekse Alise</t>
  </si>
  <si>
    <t>Kaprīze Ozolnieki</t>
  </si>
  <si>
    <t>Reinvalde Anabella</t>
  </si>
  <si>
    <t>Laizāne Monta</t>
  </si>
  <si>
    <t>Zemītis Raimonds</t>
  </si>
  <si>
    <t>Meiere Estere</t>
  </si>
  <si>
    <t>Liu Melisaiu</t>
  </si>
  <si>
    <t>Kostjuneviča Nikola</t>
  </si>
  <si>
    <t>Lavrenova Uljana</t>
  </si>
  <si>
    <t>Ždanoviča Milana</t>
  </si>
  <si>
    <t>Ķeniņa Inessa</t>
  </si>
  <si>
    <t>Tihomirova Ksenija</t>
  </si>
  <si>
    <t>Velika Maija</t>
  </si>
  <si>
    <t>Dumceva Milēna</t>
  </si>
  <si>
    <t>Grīnfelde Patrīcija</t>
  </si>
  <si>
    <t>Melnkalne Karmena</t>
  </si>
  <si>
    <t>Bogdanova Paula</t>
  </si>
  <si>
    <t>Kaļčenko Emīlija Aleksandra</t>
  </si>
  <si>
    <t>Upeniece Merija</t>
  </si>
  <si>
    <t>Tihonova Sofija</t>
  </si>
  <si>
    <t>Deņisko Poļina</t>
  </si>
  <si>
    <t>Bulle Šarlote</t>
  </si>
  <si>
    <t>Bartkeviča Adelīna</t>
  </si>
  <si>
    <t>Jaunskunga Sofija</t>
  </si>
  <si>
    <t>Bajāre Leila</t>
  </si>
  <si>
    <t>Dunce Stella</t>
  </si>
  <si>
    <t>Turka Heidija</t>
  </si>
  <si>
    <t>Ostere Nora</t>
  </si>
  <si>
    <t>Zakrepska Viktorija</t>
  </si>
  <si>
    <t>Valberga Maija</t>
  </si>
  <si>
    <t>Lekse Odrija</t>
  </si>
  <si>
    <t>Bičkova Anastasija</t>
  </si>
  <si>
    <t>Sorokina Viktorija</t>
  </si>
  <si>
    <t>Kovaļenko Sofija</t>
  </si>
  <si>
    <t>Klementjeva Sofija</t>
  </si>
  <si>
    <t>Vasitčenkova Luīze Patrīcija</t>
  </si>
  <si>
    <t>Plotnikova Alisa</t>
  </si>
  <si>
    <t>Kalniņa Evija</t>
  </si>
  <si>
    <t>Vedze Samanta</t>
  </si>
  <si>
    <t>Buketova Aleksandra</t>
  </si>
  <si>
    <t>Gaskova Mila</t>
  </si>
  <si>
    <t>Goriņa Martins</t>
  </si>
  <si>
    <t>Verniece Paula</t>
  </si>
  <si>
    <t>Briede Elza</t>
  </si>
  <si>
    <t>Reinvalde Lilianna</t>
  </si>
  <si>
    <t>Liepiņa Luella</t>
  </si>
  <si>
    <t>Dance Kadrija</t>
  </si>
  <si>
    <t>Abolniece Millija</t>
  </si>
  <si>
    <t>Jurane Eleonora</t>
  </si>
  <si>
    <t>Dinsberga Katrīna</t>
  </si>
  <si>
    <t>Dudaļeva Juliana</t>
  </si>
  <si>
    <t>Landzmane Elizabete</t>
  </si>
  <si>
    <t>Endriksone Marta</t>
  </si>
  <si>
    <t>Endriksone Elizabete</t>
  </si>
  <si>
    <t>Landzmane Sofija</t>
  </si>
  <si>
    <t>Jukšinska Elizabete Viktorija</t>
  </si>
  <si>
    <t>Ņikitina Eva Linda</t>
  </si>
  <si>
    <t>Avdeviča Nataļja</t>
  </si>
  <si>
    <t>Baltic Dance Cup</t>
  </si>
  <si>
    <t>Frolova Emīlija</t>
  </si>
  <si>
    <t>Skopāne Alise</t>
  </si>
  <si>
    <t>Meļehina Sofija</t>
  </si>
  <si>
    <t>Zelcmane Anna-Marija</t>
  </si>
  <si>
    <t>Mikena Rebeka</t>
  </si>
  <si>
    <t>Vinnikova Ksenija</t>
  </si>
  <si>
    <t>Paļčevska Sofija</t>
  </si>
  <si>
    <t>Voiseta Samanta</t>
  </si>
  <si>
    <t>Kaktobule Marija</t>
  </si>
  <si>
    <t>Vizbule Terēze</t>
  </si>
  <si>
    <t>Zute Samanta</t>
  </si>
  <si>
    <t>Bursevica Sofija</t>
  </si>
  <si>
    <t>Anufrijeva Sanija Laura</t>
  </si>
  <si>
    <t>Moldengauere Estere</t>
  </si>
  <si>
    <t>Jeniņa Anastasija</t>
  </si>
  <si>
    <t>Blaze</t>
  </si>
  <si>
    <t>Buravcova Anna</t>
  </si>
  <si>
    <t>Elizabete-Viktorija</t>
  </si>
  <si>
    <t>Matjuhova Emili</t>
  </si>
  <si>
    <t>Orlova Emilia</t>
  </si>
  <si>
    <t>Baala Ņikoļeta</t>
  </si>
  <si>
    <t>Liukonina Monika</t>
  </si>
  <si>
    <t>Ruban Varvara</t>
  </si>
  <si>
    <t>Morīte Melānija Dārta</t>
  </si>
  <si>
    <t>Lukina Polina</t>
  </si>
  <si>
    <t>Gutāne Melānija</t>
  </si>
  <si>
    <t>Kurloviča Aleksandra</t>
  </si>
  <si>
    <t>Liepāja</t>
  </si>
  <si>
    <t>Budriķīte Delija</t>
  </si>
  <si>
    <t>Juhno Enija</t>
  </si>
  <si>
    <t>Andrejevs Samuēls</t>
  </si>
  <si>
    <t>Kozhina Polina</t>
  </si>
  <si>
    <t>Ancīte Kerija</t>
  </si>
  <si>
    <t>Kezika Emīlija</t>
  </si>
  <si>
    <t>Shapurova Taisija</t>
  </si>
  <si>
    <t>Osmanova Malika</t>
  </si>
  <si>
    <t>Vavilova Melānija Romija</t>
  </si>
  <si>
    <t>Gumbele Gerda</t>
  </si>
  <si>
    <t>Sutugina Aleksa</t>
  </si>
  <si>
    <t>Stepko Sofija</t>
  </si>
  <si>
    <t>Hansena Tince</t>
  </si>
  <si>
    <t>Isajeva Violeta</t>
  </si>
  <si>
    <t>Leimane Keita Gabriela</t>
  </si>
  <si>
    <t>Borcova Anastasija</t>
  </si>
  <si>
    <t>Koževatkina Jeļizaveta</t>
  </si>
  <si>
    <t>Vidovska Nikola</t>
  </si>
  <si>
    <t>Davidova Dana</t>
  </si>
  <si>
    <t>Pedkoviča Elīna</t>
  </si>
  <si>
    <t>Tutova Poļina</t>
  </si>
  <si>
    <t>Slastjunova Vanesa</t>
  </si>
  <si>
    <t>Gailīte Dārta</t>
  </si>
  <si>
    <t>Balga Emīlija</t>
  </si>
  <si>
    <t>Konireva Amanda</t>
  </si>
  <si>
    <t>Bidiņa Alise</t>
  </si>
  <si>
    <t>Ambaine Leina</t>
  </si>
  <si>
    <t>Andrejeva Sofija</t>
  </si>
  <si>
    <t>Rotkāja Kerija Ieviņa</t>
  </si>
  <si>
    <t>Aprupe Kristīne</t>
  </si>
  <si>
    <t>Space Dance Studio</t>
  </si>
  <si>
    <t>Vladjuščenkova Alise</t>
  </si>
  <si>
    <t>Taradeiko Lilija</t>
  </si>
  <si>
    <t>Barkovska Tatjana</t>
  </si>
  <si>
    <t>Sjomina Polina</t>
  </si>
  <si>
    <t>Kupča Alise Maija</t>
  </si>
  <si>
    <t>Grīnvalde Madara</t>
  </si>
  <si>
    <t>Ancelāns Henrijs</t>
  </si>
  <si>
    <t>Kazanceva Anastasija</t>
  </si>
  <si>
    <t>Petjukeviča Alīna</t>
  </si>
  <si>
    <t>DPKN</t>
  </si>
  <si>
    <t>Biļinska Evelīna</t>
  </si>
  <si>
    <t>Tīsena Sanita</t>
  </si>
  <si>
    <t>Homka Linda</t>
  </si>
  <si>
    <t>Urbeviča Keita</t>
  </si>
  <si>
    <t>Ketnere Madara</t>
  </si>
  <si>
    <t>Mihailova Omēlija</t>
  </si>
  <si>
    <t>Briede Krista Elizabete</t>
  </si>
  <si>
    <t>Rubese Daniela</t>
  </si>
  <si>
    <t>Puriņa Helga</t>
  </si>
  <si>
    <t>Sakne Samanta</t>
  </si>
  <si>
    <t>Kopā uz 2022.g.</t>
  </si>
  <si>
    <t>Uz nākamo gadu</t>
  </si>
  <si>
    <t>1.līga</t>
  </si>
  <si>
    <t>Par iepriekšējo periodu</t>
  </si>
  <si>
    <t>Terentjeva Amēlija</t>
  </si>
  <si>
    <t>Nikulina Ieva</t>
  </si>
  <si>
    <t>Kortenko Aleksandrs</t>
  </si>
  <si>
    <t>Boža Amēlija</t>
  </si>
  <si>
    <t>Rīgas Iļģuciema pamatskola</t>
  </si>
  <si>
    <t>Golubeva Darja</t>
  </si>
  <si>
    <t>Terehova Aleksandra</t>
  </si>
  <si>
    <t>Zaharova Ksenija</t>
  </si>
  <si>
    <t>Adamoviča Jekaterina</t>
  </si>
  <si>
    <t>Trane Milana</t>
  </si>
  <si>
    <t>Ozola Paula</t>
  </si>
  <si>
    <t>Kodoliņa Estere</t>
  </si>
  <si>
    <t>Gordienko Alisa</t>
  </si>
  <si>
    <t>Sokolova Anastasija</t>
  </si>
  <si>
    <t>Tauriņa Emili</t>
  </si>
  <si>
    <t>Leišavniece Emīlija</t>
  </si>
  <si>
    <t>Lastovska Emma</t>
  </si>
  <si>
    <t>Kukīte Mia</t>
  </si>
  <si>
    <t>Seidova Milana</t>
  </si>
  <si>
    <t>Ozoliņa Zane</t>
  </si>
  <si>
    <t>Deju skola "Dzirnas"</t>
  </si>
  <si>
    <t>Ivanova Marija</t>
  </si>
  <si>
    <t>Paukšēna Grēta</t>
  </si>
  <si>
    <t>Runča Nikole</t>
  </si>
  <si>
    <t>Orlova Alisa</t>
  </si>
  <si>
    <t>Kozlovska Ieva</t>
  </si>
  <si>
    <t>Astašonoka Amelija</t>
  </si>
  <si>
    <t>Verbickis Dainis</t>
  </si>
  <si>
    <t>Rižeščenoka Kellija Gabriela</t>
  </si>
  <si>
    <t>Griscuka Alisa</t>
  </si>
  <si>
    <t>Gorkina Alisa</t>
  </si>
  <si>
    <t>Ragimova Sofija</t>
  </si>
  <si>
    <t>Novikova Larija</t>
  </si>
  <si>
    <t>Arefjeva Arianna</t>
  </si>
  <si>
    <t>Vanaga Melanija</t>
  </si>
  <si>
    <t>Mališs Artemijs</t>
  </si>
  <si>
    <t>Stafecka Justīne Liene</t>
  </si>
  <si>
    <t>Radziņa Beatrise</t>
  </si>
  <si>
    <t>Fattahova Ketrina Karolīna</t>
  </si>
  <si>
    <t>Komare Alise</t>
  </si>
  <si>
    <t>TwinHcrew</t>
  </si>
  <si>
    <t>Osīte Elīza</t>
  </si>
  <si>
    <t>Mariabella Veržbicka</t>
  </si>
  <si>
    <t>Pavlova Nellija</t>
  </si>
  <si>
    <t>Gulbe Nikola</t>
  </si>
  <si>
    <t>Orehova Melita</t>
  </si>
  <si>
    <t>Driķīte Elīna</t>
  </si>
  <si>
    <t>Mihelsone Katrīna Mišela</t>
  </si>
  <si>
    <t>Oļeņika Aleksandra</t>
  </si>
  <si>
    <t>Lūkina Sanija</t>
  </si>
  <si>
    <t>Brakovska Britnija</t>
  </si>
  <si>
    <t>Lejniece Melānija Loreta</t>
  </si>
  <si>
    <t>Jagodkina Demija Tīna</t>
  </si>
  <si>
    <t>Bergmane Vladislava</t>
  </si>
  <si>
    <t>Konošonoks Kims</t>
  </si>
  <si>
    <t>GMD studio</t>
  </si>
  <si>
    <t>Jefremova Evelīna</t>
  </si>
  <si>
    <t>Bite Odrija</t>
  </si>
  <si>
    <t>Niciparovičs Markuss</t>
  </si>
  <si>
    <t>Nikitina Marija</t>
  </si>
  <si>
    <t>Koļenčenko Poļina</t>
  </si>
  <si>
    <t>Ribakova Karina</t>
  </si>
  <si>
    <t>Zvonovska Diāna</t>
  </si>
  <si>
    <t>Babre Sandra</t>
  </si>
  <si>
    <t>Armaloviča Jana</t>
  </si>
  <si>
    <t>Grandovska Enija</t>
  </si>
  <si>
    <t>Krivoručko Darja</t>
  </si>
  <si>
    <t>Mihnoviča Lana</t>
  </si>
  <si>
    <t>Pinka Amēlija</t>
  </si>
  <si>
    <t>Savinova Alisa</t>
  </si>
  <si>
    <t>Odegova Jelizaveta</t>
  </si>
  <si>
    <t>Ribakova Sofija</t>
  </si>
  <si>
    <t>Trambarina Milana</t>
  </si>
  <si>
    <t>Skulte Emīlija</t>
  </si>
  <si>
    <t>Āboliņa Mišela</t>
  </si>
  <si>
    <t>Klimone Nikola</t>
  </si>
  <si>
    <t>Sivina Helēna</t>
  </si>
  <si>
    <t>Indrijaite Hetere</t>
  </si>
  <si>
    <t>Rudzītis Kārlis</t>
  </si>
  <si>
    <t>Podniece Viktorija</t>
  </si>
  <si>
    <t>Cīrule Anete</t>
  </si>
  <si>
    <t>Petravska Emilija</t>
  </si>
  <si>
    <t>Lapsiņa Emīlija Elizabete</t>
  </si>
  <si>
    <t>Draule Šarlote</t>
  </si>
  <si>
    <t>Babris Adrians</t>
  </si>
  <si>
    <t>Bondare Jana</t>
  </si>
  <si>
    <t>Stoptime Rēzekne</t>
  </si>
  <si>
    <t>Šubina Darja</t>
  </si>
  <si>
    <t>Dukure Viktorija</t>
  </si>
  <si>
    <t>Bistrova Agnese</t>
  </si>
  <si>
    <t>Bistere Līva</t>
  </si>
  <si>
    <t>Dance Studio Space</t>
  </si>
  <si>
    <t>Fiļajevs Dmitrijs</t>
  </si>
  <si>
    <t>Sandors Reinis</t>
  </si>
  <si>
    <t>Trizna Timurs</t>
  </si>
  <si>
    <t>Armaloviča Sofija</t>
  </si>
  <si>
    <t>Dance studio DEMO</t>
  </si>
  <si>
    <t>Krivuneca Alīna</t>
  </si>
  <si>
    <t>Poļakova Valērija</t>
  </si>
  <si>
    <t>Reihmane Aleksandra</t>
  </si>
  <si>
    <t>Davidenko Olīvija</t>
  </si>
  <si>
    <t>Vatčenko Jekaterina</t>
  </si>
  <si>
    <t>Isahanova Margarita</t>
  </si>
  <si>
    <t>Šveicare Luīze Anna</t>
  </si>
  <si>
    <t>Bondarčuka Ksenija</t>
  </si>
  <si>
    <t>Petrova Diāna</t>
  </si>
  <si>
    <t>Andrejeva Angelīna</t>
  </si>
  <si>
    <t>Freimane Kristīne</t>
  </si>
  <si>
    <t>Aleksandrova Anastasija</t>
  </si>
  <si>
    <t>Artmane Eva</t>
  </si>
  <si>
    <t>Sviksa Elīna</t>
  </si>
  <si>
    <t>Bogdanova Arina</t>
  </si>
  <si>
    <t>Cimure Keita</t>
  </si>
  <si>
    <t>Prokopoviča Žanete</t>
  </si>
  <si>
    <t>Zimerte Linda</t>
  </si>
  <si>
    <t>Freidenfelde Līga</t>
  </si>
  <si>
    <t>Dance studio SPACE</t>
  </si>
  <si>
    <t>Vidina Viktorija</t>
  </si>
  <si>
    <t>Erina Mišela</t>
  </si>
  <si>
    <t>Gavrikova Ieva</t>
  </si>
  <si>
    <t>Jakobsone Eliza Ulla</t>
  </si>
  <si>
    <t>Danilova Anastasija</t>
  </si>
  <si>
    <t>Balčūne Elīza</t>
  </si>
  <si>
    <t>Gaigala - Petkeviča Loreta</t>
  </si>
  <si>
    <t>Egle Paula</t>
  </si>
  <si>
    <t>Buivida Ksenija</t>
  </si>
  <si>
    <t>Ozerova Milana</t>
  </si>
  <si>
    <t>Rusina Linda</t>
  </si>
  <si>
    <t>`</t>
  </si>
  <si>
    <t>Berdečnikova Alina</t>
  </si>
  <si>
    <t>Mamedova Ajla</t>
  </si>
  <si>
    <t>Lepa Līva</t>
  </si>
  <si>
    <t>Ziediņa Elza</t>
  </si>
  <si>
    <t>Teibe Estere</t>
  </si>
  <si>
    <t>Griņeviča Liāna</t>
  </si>
  <si>
    <t>Zeltiņa Patrīcija</t>
  </si>
  <si>
    <t>Kurčanova Jana</t>
  </si>
  <si>
    <t>Puķjānis Dāvids</t>
  </si>
  <si>
    <t>Bučinskis Matvejs</t>
  </si>
  <si>
    <t>Zeidmanis Rūdolfs</t>
  </si>
  <si>
    <t>Dudkeviča Agnese</t>
  </si>
  <si>
    <t>Ņikona Alise</t>
  </si>
  <si>
    <t>Lune Karolina</t>
  </si>
  <si>
    <t>Zavadska Karolina</t>
  </si>
  <si>
    <t>Židkova Alina</t>
  </si>
  <si>
    <t>Bormane Karolīna</t>
  </si>
  <si>
    <t>Ķere Alise</t>
  </si>
  <si>
    <t>Korbmahere Beāte</t>
  </si>
  <si>
    <t>Silerova Beta</t>
  </si>
  <si>
    <t>Kocere Sāra Bella</t>
  </si>
  <si>
    <t>Spalve Alise</t>
  </si>
  <si>
    <t>Kartashova Alona</t>
  </si>
  <si>
    <t>Jansma Nora</t>
  </si>
  <si>
    <t>Ragimova Marija</t>
  </si>
  <si>
    <t>Fjodorova Jana</t>
  </si>
  <si>
    <t>STOPTIME Dance Studio</t>
  </si>
  <si>
    <t>Sviridova Anna</t>
  </si>
  <si>
    <t>Krinberga Evelīna</t>
  </si>
  <si>
    <t>Serova Alisa</t>
  </si>
  <si>
    <t>Deju skola KPD</t>
  </si>
  <si>
    <t>Čuvizova Ļika</t>
  </si>
  <si>
    <t>Ivanenko Andželika</t>
  </si>
  <si>
    <t>Āboma Alise</t>
  </si>
  <si>
    <t>Deju studija DPKN</t>
  </si>
  <si>
    <t>Jaroševiča Leonarda</t>
  </si>
  <si>
    <t>Bestikova Arīna</t>
  </si>
  <si>
    <t>Baumane Ebigeila Enija</t>
  </si>
  <si>
    <t>Zariņa Annija</t>
  </si>
  <si>
    <t>Matusa Alise</t>
  </si>
  <si>
    <t>Birova Māra</t>
  </si>
  <si>
    <t>Auziņš Endijs</t>
  </si>
  <si>
    <t>Dementjevs Pāvels</t>
  </si>
  <si>
    <t>Sprudzane Sofija</t>
  </si>
  <si>
    <t>Cimermane Tīna</t>
  </si>
  <si>
    <t>Eihenbauma Anna</t>
  </si>
  <si>
    <t>Loca Marta</t>
  </si>
  <si>
    <t>Bulaņenko Vitalīna</t>
  </si>
  <si>
    <t>Afanasjeva Emīlija</t>
  </si>
  <si>
    <t>Fedotova Poļina</t>
  </si>
  <si>
    <t>Mistjukeviča Diāna</t>
  </si>
  <si>
    <t>Drozdova Elizaveta</t>
  </si>
  <si>
    <t>Šeluhina Elīna</t>
  </si>
  <si>
    <t>Bogana Darja</t>
  </si>
  <si>
    <t>Liepiņa Enija</t>
  </si>
  <si>
    <t>Solomina Ksenija</t>
  </si>
  <si>
    <t>Drele Luīze</t>
  </si>
  <si>
    <t>Lazučonoka Nikola</t>
  </si>
  <si>
    <t>Sutena Patrīcija</t>
  </si>
  <si>
    <t>Oļehnoviča Ērika</t>
  </si>
  <si>
    <t>Podniece Kerolaina</t>
  </si>
  <si>
    <t>Gabrāne Kristiāna</t>
  </si>
  <si>
    <t>Samule Kristiāna</t>
  </si>
  <si>
    <t>Ņesterova Sofija</t>
  </si>
  <si>
    <t>Herasiuta Varvara</t>
  </si>
  <si>
    <t>Lehicka Mišela</t>
  </si>
  <si>
    <t>Svarinska Viktorija</t>
  </si>
  <si>
    <t>Novikova Liliāna</t>
  </si>
  <si>
    <t>Kulbanova Anastasija</t>
  </si>
  <si>
    <t>Meldere Melisa</t>
  </si>
  <si>
    <t>Derjuseva Dominika</t>
  </si>
  <si>
    <t>Kravale Eva</t>
  </si>
  <si>
    <t>Katinska Samanta</t>
  </si>
  <si>
    <t>Skuja Evelīna</t>
  </si>
  <si>
    <t>Rubene Amēlija</t>
  </si>
  <si>
    <t>Kirilova Enija Marta</t>
  </si>
  <si>
    <t>Parigina Sofija</t>
  </si>
  <si>
    <t>Vihrova Viktorija</t>
  </si>
  <si>
    <t>Matone Vladlena</t>
  </si>
  <si>
    <t>Navumovich Yeva</t>
  </si>
  <si>
    <t>Bogačovs Kirills</t>
  </si>
  <si>
    <t>Košmans Timurs</t>
  </si>
  <si>
    <t>Dimereca Viktorija</t>
  </si>
  <si>
    <t>Gromoļeva Daniela</t>
  </si>
  <si>
    <t>Kopā uz 2023.g.</t>
  </si>
  <si>
    <t>Fedosejeva Taisija</t>
  </si>
  <si>
    <t>Petruseviča Paula</t>
  </si>
  <si>
    <t>Kulikova Alīse</t>
  </si>
  <si>
    <t>Ogibalova Jana</t>
  </si>
  <si>
    <t>Dubovika Ksenija</t>
  </si>
  <si>
    <t>Krasilenko Liliana</t>
  </si>
  <si>
    <t>Sulima Marija</t>
  </si>
  <si>
    <t>Kļaviņa Megija</t>
  </si>
  <si>
    <t>Kuznecova Nikol</t>
  </si>
  <si>
    <t>Gasparaite Reičela</t>
  </si>
  <si>
    <t>Masaļska Vita</t>
  </si>
  <si>
    <t>Ivanova Viktorija</t>
  </si>
  <si>
    <t>Paļule Paula</t>
  </si>
  <si>
    <t>Barsukaite Aleksandra</t>
  </si>
  <si>
    <t>Lets</t>
  </si>
  <si>
    <t>Viļuma Liāna</t>
  </si>
  <si>
    <t>Čibulis Eduards</t>
  </si>
  <si>
    <t>Dargužis Dominiks</t>
  </si>
  <si>
    <t>Ūvens Oskars</t>
  </si>
  <si>
    <t>Malahovska Mila</t>
  </si>
  <si>
    <t>Vasiļjeva Adriana</t>
  </si>
  <si>
    <t>Lontore Agate</t>
  </si>
  <si>
    <t>Paškeviča Jasmīna Antuanete</t>
  </si>
  <si>
    <t>Augstkalne Ģerda</t>
  </si>
  <si>
    <t>Zujeva Anastasija</t>
  </si>
  <si>
    <t>Grigorenko Darja</t>
  </si>
  <si>
    <t>Šknarova Viktorija</t>
  </si>
  <si>
    <t>Cakule Evija</t>
  </si>
  <si>
    <t>Kolosova Jelizaveta</t>
  </si>
  <si>
    <t>Sergejeva Paula</t>
  </si>
  <si>
    <t>Ščemeleva Darija</t>
  </si>
  <si>
    <t>Fridmane Gabriella</t>
  </si>
  <si>
    <t>Askerova Sofija</t>
  </si>
  <si>
    <t>Siliņa Laura</t>
  </si>
  <si>
    <t>Fjodorova Arina</t>
  </si>
  <si>
    <t>Bančule Elīza</t>
  </si>
  <si>
    <t>Zinovjeva Veronika</t>
  </si>
  <si>
    <t>Radionova Milana</t>
  </si>
  <si>
    <t>Vasiļjeva Anastasija</t>
  </si>
  <si>
    <t>Zute Dagnija</t>
  </si>
  <si>
    <t>Zeltiņa Agnesi</t>
  </si>
  <si>
    <t>Stoptime</t>
  </si>
  <si>
    <t>Sarkane Emīlija</t>
  </si>
  <si>
    <t>Bodroviene Dominika</t>
  </si>
  <si>
    <t>Vītoliņa Elma</t>
  </si>
  <si>
    <t>Virka Patrīcija</t>
  </si>
  <si>
    <t>Roga Elīza</t>
  </si>
  <si>
    <t>Sārmiņa Marta Sibilla</t>
  </si>
  <si>
    <t>Merkulova Marta</t>
  </si>
  <si>
    <t>Ābola Paula</t>
  </si>
  <si>
    <t>Prokofjeva Elza</t>
  </si>
  <si>
    <t>Grūbe Gerda</t>
  </si>
  <si>
    <t>Misāne Evelīna</t>
  </si>
  <si>
    <t>Deglava Justīne</t>
  </si>
  <si>
    <t>Nāzare Līva</t>
  </si>
  <si>
    <t>Saturiņa Katrīne</t>
  </si>
  <si>
    <t>Ozoliņa Keitija</t>
  </si>
  <si>
    <t>Janēviča Klinta</t>
  </si>
  <si>
    <t>Birkāne Loreta</t>
  </si>
  <si>
    <t>Cibe Elīze</t>
  </si>
  <si>
    <t>Yablonskih Eva</t>
  </si>
  <si>
    <t>Eglīte Marta</t>
  </si>
  <si>
    <t>Millere Anna</t>
  </si>
  <si>
    <t>Tropa Beāte</t>
  </si>
  <si>
    <t>Ratkeviča Dārta</t>
  </si>
  <si>
    <t>Puriņa Gabriela</t>
  </si>
  <si>
    <t>Bokāne Anna</t>
  </si>
  <si>
    <t>Saturiņa Adele</t>
  </si>
  <si>
    <t>Lūkina Bella</t>
  </si>
  <si>
    <t>Cele Arina</t>
  </si>
  <si>
    <t>Simanovska Dana</t>
  </si>
  <si>
    <t>Jakubina Milana</t>
  </si>
  <si>
    <t>Rodceviča Daniella</t>
  </si>
  <si>
    <t>Dargužis Daniels</t>
  </si>
  <si>
    <t>Šamajeva Karina</t>
  </si>
  <si>
    <t>Cvekova Evelīna</t>
  </si>
  <si>
    <t>Lopatko Arina</t>
  </si>
  <si>
    <t>Rozenberga Elza Leila</t>
  </si>
  <si>
    <t>Ovsepjana Karolina</t>
  </si>
  <si>
    <t>Rozenberga Anastasija</t>
  </si>
  <si>
    <t>Makejeva Anna</t>
  </si>
  <si>
    <t>Stoptime Dance Studio</t>
  </si>
  <si>
    <t>Magada Arina</t>
  </si>
  <si>
    <t>Masaļska Diāna</t>
  </si>
  <si>
    <t>Bucule Jesenija</t>
  </si>
  <si>
    <t>Spička Ksenija</t>
  </si>
  <si>
    <t>Vējkrigere Patrīcija Anna</t>
  </si>
  <si>
    <t>Kirejeva Sofija</t>
  </si>
  <si>
    <t>Poļivkins Artjoms</t>
  </si>
  <si>
    <t>Kuzminska Agate</t>
  </si>
  <si>
    <t>Rapša Laura</t>
  </si>
  <si>
    <t>Sinkoveca Aleksa</t>
  </si>
  <si>
    <t>Antoneviča Anastasija</t>
  </si>
  <si>
    <t>Stepanova Elizaveta</t>
  </si>
  <si>
    <t>Ametere Evelīna</t>
  </si>
  <si>
    <t>Kovalenko Marta</t>
  </si>
  <si>
    <t>Ciganova Nikola</t>
  </si>
  <si>
    <t xml:space="preserve">Kačjušite Valerija </t>
  </si>
  <si>
    <t>Dubovska Milana</t>
  </si>
  <si>
    <t>Sknarova Viktorija</t>
  </si>
  <si>
    <t>Petrovska Karolīna</t>
  </si>
  <si>
    <t>Baranova Laura</t>
  </si>
  <si>
    <t>Aizazare Ļera</t>
  </si>
  <si>
    <t>Cerkaļina Anastasija</t>
  </si>
  <si>
    <t>Lučuk Marija</t>
  </si>
  <si>
    <t>Liperts Māris</t>
  </si>
  <si>
    <t>Avišāne Signija</t>
  </si>
  <si>
    <t>Baranika Anastasija</t>
  </si>
  <si>
    <t>Ganule Jekaterina</t>
  </si>
  <si>
    <t>Ūdrasola Viktorija</t>
  </si>
  <si>
    <t>Grinčuka Sofija</t>
  </si>
  <si>
    <t>Ogņeva Varvara</t>
  </si>
  <si>
    <t>Kaikova Maija</t>
  </si>
  <si>
    <t>Gauka Anastasija</t>
  </si>
  <si>
    <t>Vintere Linda</t>
  </si>
  <si>
    <t>Jangoļe Poļina</t>
  </si>
  <si>
    <t>Kemele Emīlija</t>
  </si>
  <si>
    <t>Jukoviča Aleksandra</t>
  </si>
  <si>
    <t>Grand Prix Jelgava</t>
  </si>
  <si>
    <t>Kuropatkina Amēlija</t>
  </si>
  <si>
    <t>Ostele Nora</t>
  </si>
  <si>
    <t>Mezraupa Maija</t>
  </si>
  <si>
    <t>Belere Elisona</t>
  </si>
  <si>
    <t>Kindereviča Melissa</t>
  </si>
  <si>
    <t>2.līga / open</t>
  </si>
  <si>
    <t>Bogana Milena</t>
  </si>
  <si>
    <t>Novikova Polina</t>
  </si>
  <si>
    <t>Gromova Beāte</t>
  </si>
  <si>
    <t>Veide Elīza</t>
  </si>
  <si>
    <t>Šulca Līga Viktorija</t>
  </si>
  <si>
    <t>Feldmane Adelīna</t>
  </si>
  <si>
    <t>Penclina Alisa</t>
  </si>
  <si>
    <t>Šafika Elisa</t>
  </si>
  <si>
    <t>Grava Eva</t>
  </si>
  <si>
    <t>Fiļimonova Līva</t>
  </si>
  <si>
    <t>Roze Marianna</t>
  </si>
  <si>
    <t>Žukova Elvīra</t>
  </si>
  <si>
    <t>Šamajeva Marina</t>
  </si>
  <si>
    <t>Cikule Laura</t>
  </si>
  <si>
    <t>Keiskalu Lorensa</t>
  </si>
  <si>
    <t>Pīrāga Madara</t>
  </si>
  <si>
    <t>Braunfelde Marta</t>
  </si>
  <si>
    <t>Legostajeva Milena</t>
  </si>
  <si>
    <t>Šimule Jana</t>
  </si>
  <si>
    <t>Žukova Veronika</t>
  </si>
  <si>
    <t>Zvanovska Diāna</t>
  </si>
  <si>
    <t>Ivanovs Ņikita</t>
  </si>
  <si>
    <t>Čuikovs Mihaels</t>
  </si>
  <si>
    <t>Dermane Evelīna</t>
  </si>
  <si>
    <t>Sproģe Evelīna</t>
  </si>
  <si>
    <t>Petrova Evelīna</t>
  </si>
  <si>
    <t>Urbāne Sannija</t>
  </si>
  <si>
    <t>Urbanoviča Angelina</t>
  </si>
  <si>
    <t>Miscenkova Arina</t>
  </si>
  <si>
    <t>Dementjeva Jūlija</t>
  </si>
  <si>
    <t>Paršonoka Ksenija</t>
  </si>
  <si>
    <t>Verigo Ksenija</t>
  </si>
  <si>
    <t>Laksa Luīze Aurēlija</t>
  </si>
  <si>
    <t>Burlakova Margarita</t>
  </si>
  <si>
    <t>Seide Sabita</t>
  </si>
  <si>
    <t>Plāce Undīne</t>
  </si>
  <si>
    <t>Jaroša Izabella</t>
  </si>
  <si>
    <t>Airijance Alīna</t>
  </si>
  <si>
    <t>Zmitrovich Maryana</t>
  </si>
  <si>
    <t>Haračibane Emili</t>
  </si>
  <si>
    <t>Beinaroviča Jūlija</t>
  </si>
  <si>
    <t>Ponomarenko Darja</t>
  </si>
  <si>
    <t>Rīga</t>
  </si>
  <si>
    <t>Darkys dance school</t>
  </si>
  <si>
    <t>Blohina Darja</t>
  </si>
  <si>
    <t>Štifurska Kristina</t>
  </si>
  <si>
    <t>Nikodimova Veronika</t>
  </si>
  <si>
    <t xml:space="preserve">Sorokins Aleksandrs </t>
  </si>
  <si>
    <t xml:space="preserve">Rītiņš Māris </t>
  </si>
  <si>
    <t>Janaite-Makarenkova Aleksandra</t>
  </si>
  <si>
    <t>Melnic Mihails</t>
  </si>
  <si>
    <t>Smirnova Alisa</t>
  </si>
  <si>
    <t>Gulbe Olīvija</t>
  </si>
  <si>
    <t>Hila Anna</t>
  </si>
  <si>
    <t>Poļakova Emīlija</t>
  </si>
  <si>
    <t>Kuļičkova Darja</t>
  </si>
  <si>
    <t>Kārkliņa Millija</t>
  </si>
  <si>
    <t>Zute Marija</t>
  </si>
  <si>
    <t>Maksimovs Airo</t>
  </si>
  <si>
    <t>Grasis Mārcis</t>
  </si>
  <si>
    <t>Mārtiņa Monika</t>
  </si>
  <si>
    <t>Brūvere Bridžita</t>
  </si>
  <si>
    <t>Deju skola "Demo"</t>
  </si>
  <si>
    <t>Zemīts Mairis</t>
  </si>
  <si>
    <t>Zāģeris Edgars</t>
  </si>
  <si>
    <t>Guste Jekaterina</t>
  </si>
  <si>
    <t>Līga</t>
  </si>
  <si>
    <t>Gaide Lote</t>
  </si>
  <si>
    <t>Fjodorova Eļvira</t>
  </si>
  <si>
    <t>Mihalovska Veronika</t>
  </si>
  <si>
    <t>Ieva Izabella</t>
  </si>
  <si>
    <t>Kudinova Melānija</t>
  </si>
  <si>
    <t>Golomboši Paula</t>
  </si>
  <si>
    <t>Urbanoviča Sofija</t>
  </si>
  <si>
    <t>Bautra Alise</t>
  </si>
  <si>
    <t>Gultniece Alise</t>
  </si>
  <si>
    <t>Čirkina Elise</t>
  </si>
  <si>
    <t>Mertena Emīlija</t>
  </si>
  <si>
    <t>Butkeviča Endžela Emīlija</t>
  </si>
  <si>
    <t>Ivčenko Evelīna</t>
  </si>
  <si>
    <t>Slivrina Melānija</t>
  </si>
  <si>
    <t>Baikovska Jeļizaveta</t>
  </si>
  <si>
    <t>Rutkovska Alise</t>
  </si>
  <si>
    <t>Rudzīte Elīza</t>
  </si>
  <si>
    <t>Geka Aleksa</t>
  </si>
  <si>
    <t>Gutreia Odrija</t>
  </si>
  <si>
    <t>Avdejeva Darja</t>
  </si>
  <si>
    <t>Haselbauma-Aselbauma Melisa</t>
  </si>
  <si>
    <t>Žīgurs Edvards</t>
  </si>
  <si>
    <t>Tukmanis Patriks</t>
  </si>
  <si>
    <t>Švēders Maikls</t>
  </si>
  <si>
    <t>Ļiļikina Īrissa</t>
  </si>
  <si>
    <t>Usača Luīza</t>
  </si>
  <si>
    <t>Lotko Angelina</t>
  </si>
  <si>
    <t>Boltņeva Enija</t>
  </si>
  <si>
    <t>Anaņiča Elza</t>
  </si>
  <si>
    <t xml:space="preserve">Melnic Madelīna </t>
  </si>
  <si>
    <t>Māske Amanda</t>
  </si>
  <si>
    <t>Prihodko Polina</t>
  </si>
  <si>
    <t>Kambare Elīna</t>
  </si>
  <si>
    <t>Incinberga Agnese</t>
  </si>
  <si>
    <t>Safina Kira</t>
  </si>
  <si>
    <t>Ničipora Melanija</t>
  </si>
  <si>
    <t>Ilguma Nikola</t>
  </si>
  <si>
    <t>Ņefa Estere</t>
  </si>
  <si>
    <t>Sadlinska Diāna</t>
  </si>
  <si>
    <t>Kjahare Elizabete</t>
  </si>
  <si>
    <t>Skredele Rendija</t>
  </si>
  <si>
    <t>Gross Artēmijs</t>
  </si>
  <si>
    <t>Čibule Erita</t>
  </si>
  <si>
    <t>Roščins Rudolfs</t>
  </si>
  <si>
    <t>Paegle Emīlija</t>
  </si>
  <si>
    <t>Šarpņicka Katrīna</t>
  </si>
  <si>
    <t>Balode Emīlija</t>
  </si>
  <si>
    <t>Kukaine Eva</t>
  </si>
  <si>
    <t>Jakimova Marta</t>
  </si>
  <si>
    <t>Vekmane Marta</t>
  </si>
  <si>
    <t>Zasa Aiva</t>
  </si>
  <si>
    <t>Garda Daniela</t>
  </si>
  <si>
    <t>Fedukova Amēlija</t>
  </si>
  <si>
    <t>DarKy's Dance School</t>
  </si>
  <si>
    <t>Kaļķe Emīlija</t>
  </si>
  <si>
    <t>Bagdone Paula</t>
  </si>
  <si>
    <t>Ozoliņa Aisma</t>
  </si>
  <si>
    <t>Grigorjeva Daniela</t>
  </si>
  <si>
    <t>Jakovļeva Elīza</t>
  </si>
  <si>
    <t>Pižika Elza</t>
  </si>
  <si>
    <t>Kravčenko Emīlija</t>
  </si>
  <si>
    <t>Rijkure Emīlija</t>
  </si>
  <si>
    <t>Jurisone Grēta</t>
  </si>
  <si>
    <t>Rozīte Lote</t>
  </si>
  <si>
    <t>Ābrama Marta</t>
  </si>
  <si>
    <t>Bertmane Melisa</t>
  </si>
  <si>
    <t>Rašmane Stella</t>
  </si>
  <si>
    <t>Vembre Valērija Anna</t>
  </si>
  <si>
    <t>Doma Ugo Henrijs</t>
  </si>
  <si>
    <t>Veizāna Deju Skola</t>
  </si>
  <si>
    <t>Iesmiņš Olafs</t>
  </si>
  <si>
    <t>Podorožkins Donāts</t>
  </si>
  <si>
    <t>Rogovskis Adrians Markuss</t>
  </si>
  <si>
    <t>Engīzers Regnārs</t>
  </si>
  <si>
    <t>Dundurs Oto</t>
  </si>
  <si>
    <t>Millers Rodrigo</t>
  </si>
  <si>
    <t>Piķieris-Soms Rihards</t>
  </si>
  <si>
    <t>Lilienfelde Kate</t>
  </si>
  <si>
    <t>Zvejniece Estere</t>
  </si>
  <si>
    <t>Grīnberga Lote</t>
  </si>
  <si>
    <t>Pakārkle Beāte</t>
  </si>
  <si>
    <t>Martemjanova Elīza</t>
  </si>
  <si>
    <t>Tilcēna Emīlija</t>
  </si>
  <si>
    <t>Ozoliņa Anna</t>
  </si>
  <si>
    <t>Cimermane Daniella</t>
  </si>
  <si>
    <t>Pastore Marta</t>
  </si>
  <si>
    <t>Terentjeva Uļjana</t>
  </si>
  <si>
    <t>Čauna Amanda</t>
  </si>
  <si>
    <t>Daugaviņa Amanda</t>
  </si>
  <si>
    <t xml:space="preserve">Vītuma Jaunzema Anna </t>
  </si>
  <si>
    <t>Bērziņa Elīna</t>
  </si>
  <si>
    <t>Zarakovska Herta</t>
  </si>
  <si>
    <t>Maldute Jasmīna</t>
  </si>
  <si>
    <t>Melngaile Karmena</t>
  </si>
  <si>
    <t>Ragovska Lauma Sofija</t>
  </si>
  <si>
    <t>Mača Patrīcija</t>
  </si>
  <si>
    <t>Nikuradze Sesili</t>
  </si>
  <si>
    <t>Zaiceva Adele</t>
  </si>
  <si>
    <t>Gamzjakova Sofija</t>
  </si>
  <si>
    <t>Šime Agnese</t>
  </si>
  <si>
    <t>Maksurova Alise</t>
  </si>
  <si>
    <t>Cīrule Mona</t>
  </si>
  <si>
    <t>Sondore Dārta</t>
  </si>
  <si>
    <t>Logina Elizabete</t>
  </si>
  <si>
    <t>Džeriņa Jasmīna Raēla</t>
  </si>
  <si>
    <t>Bērziņa Annika</t>
  </si>
  <si>
    <t>Timkiva Bogdana</t>
  </si>
  <si>
    <t>Kļusova Elizabete</t>
  </si>
  <si>
    <t>Spriņģe Alise</t>
  </si>
  <si>
    <t>Bradziniece Karolīna</t>
  </si>
  <si>
    <t>Makovecka Anete</t>
  </si>
  <si>
    <t>Balga Jasmīne</t>
  </si>
  <si>
    <t>Švinka Amēlija</t>
  </si>
  <si>
    <t>Špagina Ariana</t>
  </si>
  <si>
    <t>Zarakovska Petra</t>
  </si>
  <si>
    <t>Jāņkalns Marks</t>
  </si>
  <si>
    <t>Banders Oto</t>
  </si>
  <si>
    <t>Eniņš Alberts</t>
  </si>
  <si>
    <t>Liepure Līva</t>
  </si>
  <si>
    <t>Antāne Anete</t>
  </si>
  <si>
    <t>Kopā uz 2024.g.</t>
  </si>
  <si>
    <t>Dāvis Adrians</t>
  </si>
  <si>
    <t>Kalinina Alisa</t>
  </si>
  <si>
    <t>Sutugina Marija</t>
  </si>
  <si>
    <t>Gorina Naģežda</t>
  </si>
  <si>
    <t>Kangare Alise</t>
  </si>
  <si>
    <t>Timofejeva Darja</t>
  </si>
  <si>
    <t>Supruns Edvards</t>
  </si>
  <si>
    <t>Pouzou Milos</t>
  </si>
  <si>
    <t>Kauls Gustavs</t>
  </si>
  <si>
    <t>Bucis Eduards</t>
  </si>
  <si>
    <t>Vaščinska Alina</t>
  </si>
  <si>
    <t>Žerebcova Margarita</t>
  </si>
  <si>
    <t>Uritska Anastasiia</t>
  </si>
  <si>
    <t>Presnakova Alisa</t>
  </si>
  <si>
    <t>Strēlniece Karlīne</t>
  </si>
  <si>
    <t>Pusa Ksenija</t>
  </si>
  <si>
    <t>Pavasaris 2025</t>
  </si>
  <si>
    <t>Punkti (22.03.2025)</t>
  </si>
  <si>
    <t>Fedotova Sofija</t>
  </si>
  <si>
    <t>Tomsone Grieta</t>
  </si>
  <si>
    <t>Liepiņa Adele</t>
  </si>
  <si>
    <t>Pūcēna Amēlija</t>
  </si>
  <si>
    <t xml:space="preserve">Rinkevica Amēlija </t>
  </si>
  <si>
    <t>Statkus Simona</t>
  </si>
  <si>
    <t>Ivašķeviča Anna</t>
  </si>
  <si>
    <t>Stoļere Estere</t>
  </si>
  <si>
    <t>Ģēģere Sintija</t>
  </si>
  <si>
    <t>Dance Beat studio</t>
  </si>
  <si>
    <t>Zvirgzdiņa Endija</t>
  </si>
  <si>
    <t>Lejiete Leida</t>
  </si>
  <si>
    <t>Saidova Darja</t>
  </si>
  <si>
    <t>Mateļonoka Angelina</t>
  </si>
  <si>
    <t>Simbirceva Elizabete</t>
  </si>
  <si>
    <t>Zariņa Paula</t>
  </si>
  <si>
    <t>Velbicka Nikole</t>
  </si>
  <si>
    <t>Zujeva Alise</t>
  </si>
  <si>
    <t>Meiere Lorete</t>
  </si>
  <si>
    <t>Klišāne Marta</t>
  </si>
  <si>
    <t>Širokaja Teona</t>
  </si>
  <si>
    <t>Feldmane Emma</t>
  </si>
  <si>
    <t>Dance Story1</t>
  </si>
  <si>
    <t>Priede Priedīte Emīlija</t>
  </si>
  <si>
    <t>Boguslavska Sofija</t>
  </si>
  <si>
    <t>Štemere Emīlija</t>
  </si>
  <si>
    <t>Bukovska Beatrise</t>
  </si>
  <si>
    <t>Neimane Elza</t>
  </si>
  <si>
    <t>Šegalinova Jūlija</t>
  </si>
  <si>
    <t>Pekarēviča Laura</t>
  </si>
  <si>
    <t>Solomeviča Anželika</t>
  </si>
  <si>
    <t>Baza Elsa</t>
  </si>
  <si>
    <t>Šteimane Elza Šarlote</t>
  </si>
  <si>
    <t>Mosina Emma</t>
  </si>
  <si>
    <t>Raikova Emma</t>
  </si>
  <si>
    <t>Pavlovska Karlīna</t>
  </si>
  <si>
    <t>Mihailova Marta</t>
  </si>
  <si>
    <t>Cvetkova Evelina</t>
  </si>
  <si>
    <t>Varickis Gustavs</t>
  </si>
  <si>
    <t>Tomsons Rūdis</t>
  </si>
  <si>
    <t>Druka-Jaunzema Karolaina</t>
  </si>
  <si>
    <t>Rozentāle Leila</t>
  </si>
  <si>
    <t>Vaska Madara</t>
  </si>
  <si>
    <t>Dupate Alma</t>
  </si>
  <si>
    <t>Ceriņa Katrīna</t>
  </si>
  <si>
    <t>Vītola Elīza</t>
  </si>
  <si>
    <t>Kučāne Kerija</t>
  </si>
  <si>
    <t>Liepiņa Rebeka Anna</t>
  </si>
  <si>
    <t>Jukumsone-Jukumniece Naomi</t>
  </si>
  <si>
    <t>Kalniņa Katrīna</t>
  </si>
  <si>
    <t>Sosņicka Sāra</t>
  </si>
  <si>
    <t>Perčatkina Poļina</t>
  </si>
  <si>
    <t>Prihodjko Milana</t>
  </si>
  <si>
    <t>Vanaga Elīna</t>
  </si>
  <si>
    <t>Balga Elīza</t>
  </si>
  <si>
    <t>Dima Vanessa</t>
  </si>
  <si>
    <t>Garjanova Alise</t>
  </si>
  <si>
    <t>Jansons Augusts</t>
  </si>
  <si>
    <t>Miņajeva Darja</t>
  </si>
  <si>
    <t>Sārta Agnese</t>
  </si>
  <si>
    <t>Mihailova Emīlija</t>
  </si>
  <si>
    <t>Poļakova Eva</t>
  </si>
  <si>
    <t>Freiberga Alise Maija</t>
  </si>
  <si>
    <t>Lūciņa Gabriēla</t>
  </si>
  <si>
    <t>Kampāne Elīza</t>
  </si>
  <si>
    <t>Čirkovs Renāts</t>
  </si>
  <si>
    <t>Iļjučonoka Madara</t>
  </si>
  <si>
    <t>Vasiļevska Darja</t>
  </si>
  <si>
    <t>Zolotova Valērija</t>
  </si>
  <si>
    <t>Lamberga Valerija</t>
  </si>
  <si>
    <t>Dalecka Nikoleta</t>
  </si>
  <si>
    <t>Hvoščova Sabīne</t>
  </si>
  <si>
    <t>Lilienfelde Tīna</t>
  </si>
  <si>
    <t>Bērziņa Alise</t>
  </si>
  <si>
    <t>Filipova Alisa</t>
  </si>
  <si>
    <t>Melne Elīza Anna</t>
  </si>
  <si>
    <t>Pizika Enija</t>
  </si>
  <si>
    <t>Naumova Gabriela</t>
  </si>
  <si>
    <t>Antonova Nellija</t>
  </si>
  <si>
    <t>Althabere Emīlija</t>
  </si>
  <si>
    <t>Jasnova Agate</t>
  </si>
  <si>
    <t>Romanova Elizabete</t>
  </si>
  <si>
    <t>Strode Estere</t>
  </si>
  <si>
    <t>Skrodere Alise</t>
  </si>
  <si>
    <t>Bērziņa Ketija</t>
  </si>
  <si>
    <t>Čivlis Jēkabs</t>
  </si>
  <si>
    <t>Galveits Valters</t>
  </si>
  <si>
    <t>Zolmane Anete</t>
  </si>
  <si>
    <t>Rastjogina Alise</t>
  </si>
  <si>
    <t>Ķīse Sofija</t>
  </si>
  <si>
    <t>Ceriņa Karlīna</t>
  </si>
  <si>
    <t>Rauduve Kima</t>
  </si>
  <si>
    <t>Krilova Ance</t>
  </si>
  <si>
    <t>Liepiņa Estere</t>
  </si>
  <si>
    <t>Lejiete Linda</t>
  </si>
  <si>
    <t xml:space="preserve">Gutnika Debora </t>
  </si>
  <si>
    <t>Balinska Airita</t>
  </si>
  <si>
    <t>Krūmiņa Roberta</t>
  </si>
  <si>
    <t>Tauriņa Marta</t>
  </si>
  <si>
    <t>Magone Apine Adrija</t>
  </si>
  <si>
    <t>Magonīte Patrīcija</t>
  </si>
  <si>
    <t>Jevčuka Anna Lūcija</t>
  </si>
  <si>
    <t>Lamstere Gabriēla</t>
  </si>
  <si>
    <t>Lubgāne Sofija</t>
  </si>
  <si>
    <t>Paluhina Sofija</t>
  </si>
  <si>
    <t>Ļeonova Letīcija</t>
  </si>
  <si>
    <t>Vilka Aivija</t>
  </si>
  <si>
    <t>Berlizova Darja</t>
  </si>
  <si>
    <t>Steikiša Estere</t>
  </si>
  <si>
    <t>Treija Demetra</t>
  </si>
  <si>
    <t>Freivalde Amanda</t>
  </si>
  <si>
    <t>Fedoreks Leo</t>
  </si>
  <si>
    <t>Jēkabsons Ulfs Dāgs</t>
  </si>
  <si>
    <t>Ozola Terēze Dārta</t>
  </si>
  <si>
    <t>Puķīte Adelina</t>
  </si>
  <si>
    <t>Tīruma Elīza</t>
  </si>
  <si>
    <t>Eglīte Patrīcija</t>
  </si>
  <si>
    <t>Ivanovs Einārs</t>
  </si>
  <si>
    <t>Jevcuks Andris</t>
  </si>
  <si>
    <t>Kuzņecova Milana</t>
  </si>
  <si>
    <t>Krasta Laura</t>
  </si>
  <si>
    <t>Virbule Marta</t>
  </si>
  <si>
    <t>Meire Dace</t>
  </si>
  <si>
    <t>Bogomola Kitija</t>
  </si>
  <si>
    <t>Ceska Adelīna</t>
  </si>
  <si>
    <t>Bajāre Beāte</t>
  </si>
  <si>
    <t>Iļģuciema pamatskola</t>
  </si>
  <si>
    <t>Gogoļa Marija</t>
  </si>
  <si>
    <t>Luckāne Marta</t>
  </si>
  <si>
    <t>Mitrevics Valters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</si>
</sst>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  <charset val="204"/>
    </font>
    <font>
      <sz val="10"/>
      <name val="Arial"/>
      <family val="2"/>
      <charset val="186"/>
    </font>
    <font>
      <sz val="9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8" fillId="0" borderId="0"/>
  </cellStyleXfs>
  <cellXfs count="292">
    <xf numFmtId="0" fontId="0" fillId="0" borderId="0" xfId="0"/>
    <xf numFmtId="1" fontId="26" fillId="3" borderId="3" xfId="0" applyNumberFormat="1" applyFont="1" applyFill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1" fontId="0" fillId="3" borderId="3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 wrapText="1"/>
    </xf>
    <xf numFmtId="1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horizontal="left" vertical="center" wrapText="1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 vertical="center"/>
    </xf>
    <xf numFmtId="1" fontId="0" fillId="4" borderId="3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/>
    </xf>
    <xf numFmtId="1" fontId="25" fillId="3" borderId="3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6" xfId="0" applyNumberFormat="1" applyBorder="1" applyAlignment="1"/>
    <xf numFmtId="1" fontId="0" fillId="0" borderId="1" xfId="0" applyNumberFormat="1" applyBorder="1" applyAlignment="1"/>
    <xf numFmtId="1" fontId="0" fillId="0" borderId="8" xfId="0" applyNumberFormat="1" applyBorder="1" applyAlignment="1"/>
    <xf numFmtId="1" fontId="0" fillId="0" borderId="1" xfId="0" applyNumberFormat="1" applyFont="1" applyBorder="1" applyAlignment="1">
      <alignment horizontal="left"/>
    </xf>
    <xf numFmtId="1" fontId="26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1" fontId="0" fillId="4" borderId="3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27" fillId="0" borderId="6" xfId="0" applyNumberFormat="1" applyFont="1" applyBorder="1" applyAlignment="1"/>
    <xf numFmtId="1" fontId="27" fillId="0" borderId="8" xfId="0" applyNumberFormat="1" applyFont="1" applyBorder="1" applyAlignment="1"/>
    <xf numFmtId="1" fontId="27" fillId="0" borderId="9" xfId="0" applyNumberFormat="1" applyFont="1" applyBorder="1" applyAlignment="1"/>
    <xf numFmtId="1" fontId="27" fillId="0" borderId="10" xfId="0" applyNumberFormat="1" applyFont="1" applyBorder="1" applyAlignment="1"/>
    <xf numFmtId="1" fontId="0" fillId="4" borderId="3" xfId="0" applyNumberFormat="1" applyFill="1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25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27" fillId="0" borderId="1" xfId="0" applyNumberFormat="1" applyFont="1" applyBorder="1" applyAlignment="1">
      <alignment vertical="center" wrapText="1"/>
    </xf>
    <xf numFmtId="1" fontId="27" fillId="0" borderId="1" xfId="0" applyNumberFormat="1" applyFont="1" applyBorder="1" applyAlignment="1">
      <alignment vertical="center"/>
    </xf>
    <xf numFmtId="1" fontId="22" fillId="4" borderId="3" xfId="0" applyNumberFormat="1" applyFont="1" applyFill="1" applyBorder="1" applyAlignment="1">
      <alignment horizontal="center"/>
    </xf>
    <xf numFmtId="1" fontId="29" fillId="4" borderId="3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Border="1" applyAlignment="1">
      <alignment vertical="center" wrapText="1"/>
    </xf>
    <xf numFmtId="1" fontId="22" fillId="4" borderId="3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/>
    </xf>
    <xf numFmtId="1" fontId="29" fillId="3" borderId="3" xfId="0" applyNumberFormat="1" applyFont="1" applyFill="1" applyBorder="1" applyAlignment="1">
      <alignment horizontal="center"/>
    </xf>
    <xf numFmtId="1" fontId="30" fillId="0" borderId="1" xfId="0" applyNumberFormat="1" applyFont="1" applyBorder="1" applyAlignment="1">
      <alignment vertical="center"/>
    </xf>
    <xf numFmtId="1" fontId="29" fillId="3" borderId="3" xfId="0" applyNumberFormat="1" applyFont="1" applyFill="1" applyBorder="1" applyAlignment="1">
      <alignment horizontal="center" vertical="center" wrapText="1"/>
    </xf>
    <xf numFmtId="1" fontId="33" fillId="4" borderId="3" xfId="0" applyNumberFormat="1" applyFont="1" applyFill="1" applyBorder="1" applyAlignment="1">
      <alignment horizontal="center"/>
    </xf>
    <xf numFmtId="1" fontId="25" fillId="0" borderId="1" xfId="0" applyNumberFormat="1" applyFont="1" applyBorder="1" applyAlignment="1">
      <alignment horizontal="left"/>
    </xf>
    <xf numFmtId="1" fontId="25" fillId="0" borderId="1" xfId="0" applyNumberFormat="1" applyFon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" fontId="27" fillId="0" borderId="1" xfId="0" applyNumberFormat="1" applyFont="1" applyBorder="1" applyAlignment="1"/>
    <xf numFmtId="1" fontId="27" fillId="4" borderId="1" xfId="0" applyNumberFormat="1" applyFont="1" applyFill="1" applyBorder="1" applyAlignment="1"/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21" fillId="4" borderId="3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horizontal="left" vertical="center"/>
    </xf>
    <xf numFmtId="0" fontId="34" fillId="4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/>
    </xf>
    <xf numFmtId="0" fontId="32" fillId="4" borderId="1" xfId="0" applyFont="1" applyFill="1" applyBorder="1" applyAlignment="1">
      <alignment horizontal="left"/>
    </xf>
    <xf numFmtId="1" fontId="21" fillId="4" borderId="3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left" vertical="center"/>
    </xf>
    <xf numFmtId="0" fontId="33" fillId="4" borderId="1" xfId="0" applyFont="1" applyFill="1" applyBorder="1" applyAlignment="1">
      <alignment horizontal="center" vertical="center"/>
    </xf>
    <xf numFmtId="1" fontId="20" fillId="4" borderId="3" xfId="0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  <xf numFmtId="1" fontId="22" fillId="4" borderId="4" xfId="0" applyNumberFormat="1" applyFont="1" applyFill="1" applyBorder="1" applyAlignment="1">
      <alignment horizontal="center" vertical="center" wrapText="1"/>
    </xf>
    <xf numFmtId="0" fontId="33" fillId="4" borderId="1" xfId="2" applyFont="1" applyFill="1" applyBorder="1" applyAlignment="1">
      <alignment horizontal="left" vertical="center" wrapText="1"/>
    </xf>
    <xf numFmtId="0" fontId="33" fillId="4" borderId="1" xfId="0" applyFont="1" applyFill="1" applyBorder="1" applyAlignment="1">
      <alignment horizontal="left" vertical="center" wrapText="1"/>
    </xf>
    <xf numFmtId="1" fontId="24" fillId="4" borderId="3" xfId="0" applyNumberFormat="1" applyFont="1" applyFill="1" applyBorder="1" applyAlignment="1">
      <alignment horizontal="center"/>
    </xf>
    <xf numFmtId="1" fontId="19" fillId="4" borderId="3" xfId="0" applyNumberFormat="1" applyFont="1" applyFill="1" applyBorder="1" applyAlignment="1">
      <alignment horizontal="center" vertical="center" wrapText="1"/>
    </xf>
    <xf numFmtId="1" fontId="19" fillId="4" borderId="3" xfId="0" applyNumberFormat="1" applyFont="1" applyFill="1" applyBorder="1" applyAlignment="1">
      <alignment horizontal="center"/>
    </xf>
    <xf numFmtId="1" fontId="18" fillId="4" borderId="3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vertical="center" wrapText="1"/>
    </xf>
    <xf numFmtId="1" fontId="0" fillId="4" borderId="1" xfId="0" applyNumberFormat="1" applyFill="1" applyBorder="1" applyAlignment="1"/>
    <xf numFmtId="1" fontId="25" fillId="0" borderId="1" xfId="0" applyNumberFormat="1" applyFont="1" applyBorder="1" applyAlignment="1"/>
    <xf numFmtId="0" fontId="23" fillId="4" borderId="1" xfId="0" applyFont="1" applyFill="1" applyBorder="1" applyAlignment="1">
      <alignment vertical="center"/>
    </xf>
    <xf numFmtId="0" fontId="0" fillId="4" borderId="1" xfId="0" applyFill="1" applyBorder="1" applyAlignment="1"/>
    <xf numFmtId="1" fontId="0" fillId="0" borderId="1" xfId="0" applyNumberFormat="1" applyBorder="1" applyAlignment="1">
      <alignment vertical="center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22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17" fillId="4" borderId="3" xfId="0" applyNumberFormat="1" applyFont="1" applyFill="1" applyBorder="1" applyAlignment="1">
      <alignment horizontal="center" vertical="center" wrapText="1"/>
    </xf>
    <xf numFmtId="1" fontId="17" fillId="4" borderId="3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" fontId="22" fillId="4" borderId="4" xfId="0" applyNumberFormat="1" applyFont="1" applyFill="1" applyBorder="1" applyAlignment="1">
      <alignment vertical="center" wrapText="1"/>
    </xf>
    <xf numFmtId="1" fontId="27" fillId="4" borderId="6" xfId="0" applyNumberFormat="1" applyFont="1" applyFill="1" applyBorder="1" applyAlignment="1"/>
    <xf numFmtId="1" fontId="27" fillId="4" borderId="8" xfId="0" applyNumberFormat="1" applyFont="1" applyFill="1" applyBorder="1" applyAlignment="1"/>
    <xf numFmtId="1" fontId="29" fillId="4" borderId="3" xfId="0" applyNumberFormat="1" applyFont="1" applyFill="1" applyBorder="1" applyAlignment="1">
      <alignment horizontal="center"/>
    </xf>
    <xf numFmtId="1" fontId="31" fillId="4" borderId="6" xfId="0" applyNumberFormat="1" applyFont="1" applyFill="1" applyBorder="1" applyAlignment="1"/>
    <xf numFmtId="1" fontId="31" fillId="4" borderId="8" xfId="0" applyNumberFormat="1" applyFont="1" applyFill="1" applyBorder="1" applyAlignment="1"/>
    <xf numFmtId="1" fontId="16" fillId="0" borderId="1" xfId="0" applyNumberFormat="1" applyFont="1" applyBorder="1" applyAlignment="1">
      <alignment horizontal="center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1" fontId="31" fillId="4" borderId="1" xfId="0" applyNumberFormat="1" applyFont="1" applyFill="1" applyBorder="1" applyAlignment="1"/>
    <xf numFmtId="1" fontId="16" fillId="4" borderId="3" xfId="0" applyNumberFormat="1" applyFont="1" applyFill="1" applyBorder="1" applyAlignment="1">
      <alignment horizontal="center" wrapText="1"/>
    </xf>
    <xf numFmtId="1" fontId="16" fillId="4" borderId="3" xfId="0" applyNumberFormat="1" applyFont="1" applyFill="1" applyBorder="1" applyAlignment="1">
      <alignment horizontal="center"/>
    </xf>
    <xf numFmtId="1" fontId="30" fillId="4" borderId="1" xfId="0" applyNumberFormat="1" applyFont="1" applyFill="1" applyBorder="1" applyAlignment="1">
      <alignment vertical="center"/>
    </xf>
    <xf numFmtId="1" fontId="27" fillId="4" borderId="1" xfId="0" applyNumberFormat="1" applyFont="1" applyFill="1" applyBorder="1" applyAlignment="1">
      <alignment vertical="center"/>
    </xf>
    <xf numFmtId="1" fontId="16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 wrapText="1"/>
    </xf>
    <xf numFmtId="1" fontId="29" fillId="4" borderId="3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5" borderId="3" xfId="0" applyNumberFormat="1" applyFont="1" applyFill="1" applyBorder="1" applyAlignment="1">
      <alignment horizontal="center" vertical="center" wrapText="1"/>
    </xf>
    <xf numFmtId="1" fontId="33" fillId="5" borderId="3" xfId="0" applyNumberFormat="1" applyFont="1" applyFill="1" applyBorder="1" applyAlignment="1">
      <alignment horizontal="center"/>
    </xf>
    <xf numFmtId="1" fontId="26" fillId="5" borderId="3" xfId="0" applyNumberFormat="1" applyFont="1" applyFill="1" applyBorder="1" applyAlignment="1">
      <alignment horizontal="center"/>
    </xf>
    <xf numFmtId="1" fontId="16" fillId="5" borderId="3" xfId="0" applyNumberFormat="1" applyFont="1" applyFill="1" applyBorder="1" applyAlignment="1">
      <alignment horizontal="center"/>
    </xf>
    <xf numFmtId="1" fontId="24" fillId="5" borderId="3" xfId="0" applyNumberFormat="1" applyFon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24" fillId="5" borderId="3" xfId="0" applyNumberFormat="1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vertical="center"/>
    </xf>
    <xf numFmtId="0" fontId="34" fillId="4" borderId="2" xfId="0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" fontId="29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 wrapText="1"/>
    </xf>
    <xf numFmtId="1" fontId="29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1" fontId="29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29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 vertical="center" wrapText="1"/>
    </xf>
    <xf numFmtId="1" fontId="22" fillId="4" borderId="4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 vertical="center" wrapText="1"/>
    </xf>
    <xf numFmtId="1" fontId="33" fillId="4" borderId="1" xfId="0" applyNumberFormat="1" applyFont="1" applyFill="1" applyBorder="1" applyAlignment="1">
      <alignment horizontal="center"/>
    </xf>
    <xf numFmtId="1" fontId="25" fillId="0" borderId="3" xfId="0" applyNumberFormat="1" applyFont="1" applyBorder="1" applyAlignment="1">
      <alignment horizontal="center"/>
    </xf>
    <xf numFmtId="1" fontId="21" fillId="4" borderId="1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>
      <alignment horizontal="center"/>
    </xf>
    <xf numFmtId="1" fontId="0" fillId="5" borderId="3" xfId="0" applyNumberFormat="1" applyFill="1" applyBorder="1" applyAlignment="1">
      <alignment horizontal="center" vertical="center" wrapText="1"/>
    </xf>
    <xf numFmtId="1" fontId="33" fillId="4" borderId="3" xfId="0" quotePrefix="1" applyNumberFormat="1" applyFont="1" applyFill="1" applyBorder="1" applyAlignment="1">
      <alignment horizontal="center"/>
    </xf>
    <xf numFmtId="1" fontId="8" fillId="4" borderId="1" xfId="0" applyNumberFormat="1" applyFont="1" applyFill="1" applyBorder="1" applyAlignment="1">
      <alignment horizontal="center" vertical="center" wrapText="1"/>
    </xf>
    <xf numFmtId="1" fontId="31" fillId="4" borderId="1" xfId="0" applyNumberFormat="1" applyFont="1" applyFill="1" applyBorder="1" applyAlignment="1">
      <alignment vertical="center"/>
    </xf>
    <xf numFmtId="1" fontId="8" fillId="4" borderId="3" xfId="0" applyNumberFormat="1" applyFont="1" applyFill="1" applyBorder="1" applyAlignment="1">
      <alignment horizontal="center" vertical="center"/>
    </xf>
    <xf numFmtId="1" fontId="24" fillId="4" borderId="3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left" vertical="center"/>
    </xf>
    <xf numFmtId="0" fontId="23" fillId="4" borderId="2" xfId="0" applyFont="1" applyFill="1" applyBorder="1" applyAlignment="1">
      <alignment horizontal="center" vertical="center"/>
    </xf>
    <xf numFmtId="1" fontId="33" fillId="4" borderId="3" xfId="0" applyNumberFormat="1" applyFont="1" applyFill="1" applyBorder="1" applyAlignment="1">
      <alignment horizontal="center"/>
    </xf>
    <xf numFmtId="1" fontId="29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 vertical="center" wrapText="1"/>
    </xf>
    <xf numFmtId="1" fontId="33" fillId="4" borderId="3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 wrapText="1"/>
    </xf>
    <xf numFmtId="1" fontId="0" fillId="4" borderId="4" xfId="0" applyNumberFormat="1" applyFill="1" applyBorder="1" applyAlignment="1">
      <alignment horizontal="center" wrapText="1"/>
    </xf>
    <xf numFmtId="1" fontId="33" fillId="4" borderId="3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1" fontId="14" fillId="4" borderId="3" xfId="0" applyNumberFormat="1" applyFont="1" applyFill="1" applyBorder="1" applyAlignment="1">
      <alignment horizontal="center" vertical="center" wrapText="1"/>
    </xf>
    <xf numFmtId="1" fontId="11" fillId="4" borderId="3" xfId="0" applyNumberFormat="1" applyFont="1" applyFill="1" applyBorder="1" applyAlignment="1">
      <alignment horizontal="center" vertical="center" wrapText="1"/>
    </xf>
    <xf numFmtId="1" fontId="12" fillId="4" borderId="3" xfId="0" applyNumberFormat="1" applyFont="1" applyFill="1" applyBorder="1" applyAlignment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1" fontId="15" fillId="4" borderId="3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left"/>
    </xf>
    <xf numFmtId="1" fontId="29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33" fillId="4" borderId="3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 wrapText="1"/>
    </xf>
    <xf numFmtId="1" fontId="0" fillId="4" borderId="4" xfId="0" applyNumberFormat="1" applyFill="1" applyBorder="1" applyAlignment="1">
      <alignment horizontal="center" wrapText="1"/>
    </xf>
    <xf numFmtId="1" fontId="24" fillId="4" borderId="3" xfId="0" applyNumberFormat="1" applyFont="1" applyFill="1" applyBorder="1" applyAlignment="1">
      <alignment horizontal="center"/>
    </xf>
    <xf numFmtId="1" fontId="33" fillId="4" borderId="3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 vertical="center" wrapText="1"/>
    </xf>
    <xf numFmtId="1" fontId="22" fillId="4" borderId="1" xfId="0" applyNumberFormat="1" applyFont="1" applyFill="1" applyBorder="1" applyAlignment="1">
      <alignment horizontal="center"/>
    </xf>
    <xf numFmtId="1" fontId="29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33" fillId="4" borderId="3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 wrapText="1"/>
    </xf>
    <xf numFmtId="1" fontId="0" fillId="4" borderId="4" xfId="0" applyNumberFormat="1" applyFill="1" applyBorder="1" applyAlignment="1">
      <alignment horizontal="center" wrapText="1"/>
    </xf>
    <xf numFmtId="1" fontId="0" fillId="4" borderId="3" xfId="0" applyNumberForma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29" fillId="4" borderId="3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33" fillId="4" borderId="3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 wrapText="1"/>
    </xf>
    <xf numFmtId="1" fontId="0" fillId="4" borderId="4" xfId="0" applyNumberFormat="1" applyFill="1" applyBorder="1" applyAlignment="1">
      <alignment horizontal="center" wrapText="1"/>
    </xf>
    <xf numFmtId="1" fontId="0" fillId="4" borderId="3" xfId="0" applyNumberForma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left"/>
    </xf>
    <xf numFmtId="1" fontId="16" fillId="4" borderId="1" xfId="0" applyNumberFormat="1" applyFont="1" applyFill="1" applyBorder="1" applyAlignment="1">
      <alignment horizontal="center"/>
    </xf>
    <xf numFmtId="1" fontId="24" fillId="4" borderId="2" xfId="0" applyNumberFormat="1" applyFont="1" applyFill="1" applyBorder="1" applyAlignment="1"/>
    <xf numFmtId="1" fontId="24" fillId="0" borderId="2" xfId="0" applyNumberFormat="1" applyFont="1" applyBorder="1" applyAlignment="1"/>
    <xf numFmtId="1" fontId="0" fillId="4" borderId="6" xfId="0" applyNumberForma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1" fontId="22" fillId="4" borderId="4" xfId="0" applyNumberFormat="1" applyFont="1" applyFill="1" applyBorder="1" applyAlignment="1">
      <alignment horizontal="center" vertical="center" wrapText="1"/>
    </xf>
    <xf numFmtId="1" fontId="33" fillId="4" borderId="3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 wrapText="1"/>
    </xf>
    <xf numFmtId="1" fontId="24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 wrapText="1"/>
    </xf>
    <xf numFmtId="1" fontId="0" fillId="4" borderId="4" xfId="0" applyNumberFormat="1" applyFill="1" applyBorder="1" applyAlignment="1">
      <alignment horizontal="center" vertical="center" wrapText="1"/>
    </xf>
    <xf numFmtId="1" fontId="33" fillId="4" borderId="4" xfId="0" applyNumberFormat="1" applyFont="1" applyFill="1" applyBorder="1" applyAlignment="1">
      <alignment horizontal="center"/>
    </xf>
    <xf numFmtId="1" fontId="29" fillId="4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left"/>
    </xf>
    <xf numFmtId="1" fontId="25" fillId="4" borderId="1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33" fillId="4" borderId="3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 vertical="center"/>
    </xf>
    <xf numFmtId="1" fontId="0" fillId="4" borderId="3" xfId="0" applyNumberFormat="1" applyFill="1" applyBorder="1" applyAlignment="1">
      <alignment horizontal="center" vertical="center" wrapText="1"/>
    </xf>
    <xf numFmtId="1" fontId="24" fillId="4" borderId="3" xfId="0" applyNumberFormat="1" applyFont="1" applyFill="1" applyBorder="1" applyAlignment="1">
      <alignment horizontal="center"/>
    </xf>
    <xf numFmtId="1" fontId="33" fillId="4" borderId="3" xfId="0" applyNumberFormat="1" applyFont="1" applyFill="1" applyBorder="1" applyAlignment="1">
      <alignment horizontal="center"/>
    </xf>
    <xf numFmtId="1" fontId="0" fillId="4" borderId="3" xfId="0" applyNumberForma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25" fillId="4" borderId="3" xfId="0" applyNumberFormat="1" applyFont="1" applyFill="1" applyBorder="1" applyAlignment="1">
      <alignment horizontal="center"/>
    </xf>
    <xf numFmtId="1" fontId="33" fillId="5" borderId="1" xfId="0" applyNumberFormat="1" applyFont="1" applyFill="1" applyBorder="1" applyAlignment="1">
      <alignment horizontal="center"/>
    </xf>
    <xf numFmtId="1" fontId="0" fillId="2" borderId="3" xfId="0" applyNumberFormat="1" applyFill="1" applyBorder="1" applyAlignment="1">
      <alignment horizontal="center" vertical="center" wrapText="1"/>
    </xf>
    <xf numFmtId="1" fontId="0" fillId="6" borderId="3" xfId="0" applyNumberFormat="1" applyFill="1" applyBorder="1" applyAlignment="1">
      <alignment horizontal="center" vertical="center" wrapText="1"/>
    </xf>
    <xf numFmtId="1" fontId="27" fillId="0" borderId="5" xfId="0" applyNumberFormat="1" applyFont="1" applyBorder="1" applyAlignment="1">
      <alignment horizontal="center"/>
    </xf>
    <xf numFmtId="1" fontId="27" fillId="0" borderId="6" xfId="0" applyNumberFormat="1" applyFont="1" applyBorder="1" applyAlignment="1">
      <alignment horizontal="center"/>
    </xf>
    <xf numFmtId="1" fontId="27" fillId="0" borderId="7" xfId="0" applyNumberFormat="1" applyFont="1" applyBorder="1" applyAlignment="1">
      <alignment horizontal="center"/>
    </xf>
    <xf numFmtId="1" fontId="27" fillId="0" borderId="8" xfId="0" applyNumberFormat="1" applyFont="1" applyBorder="1" applyAlignment="1">
      <alignment horizontal="center"/>
    </xf>
    <xf numFmtId="1" fontId="29" fillId="4" borderId="3" xfId="0" applyNumberFormat="1" applyFont="1" applyFill="1" applyBorder="1" applyAlignment="1">
      <alignment horizontal="center" vertical="center" wrapText="1"/>
    </xf>
    <xf numFmtId="1" fontId="29" fillId="4" borderId="2" xfId="0" applyNumberFormat="1" applyFont="1" applyFill="1" applyBorder="1" applyAlignment="1">
      <alignment horizontal="center" vertical="center" wrapText="1"/>
    </xf>
    <xf numFmtId="1" fontId="25" fillId="4" borderId="3" xfId="0" applyNumberFormat="1" applyFont="1" applyFill="1" applyBorder="1" applyAlignment="1">
      <alignment horizontal="center"/>
    </xf>
    <xf numFmtId="1" fontId="25" fillId="4" borderId="2" xfId="0" applyNumberFormat="1" applyFont="1" applyFill="1" applyBorder="1" applyAlignment="1">
      <alignment horizontal="center"/>
    </xf>
    <xf numFmtId="1" fontId="24" fillId="4" borderId="1" xfId="0" applyNumberFormat="1" applyFont="1" applyFill="1" applyBorder="1" applyAlignment="1">
      <alignment horizontal="center"/>
    </xf>
    <xf numFmtId="1" fontId="24" fillId="4" borderId="3" xfId="0" applyNumberFormat="1" applyFont="1" applyFill="1" applyBorder="1" applyAlignment="1">
      <alignment horizontal="center"/>
    </xf>
    <xf numFmtId="1" fontId="24" fillId="4" borderId="4" xfId="0" applyNumberFormat="1" applyFont="1" applyFill="1" applyBorder="1" applyAlignment="1">
      <alignment horizontal="center"/>
    </xf>
    <xf numFmtId="1" fontId="24" fillId="4" borderId="2" xfId="0" applyNumberFormat="1" applyFont="1" applyFill="1" applyBorder="1" applyAlignment="1">
      <alignment horizontal="center"/>
    </xf>
    <xf numFmtId="1" fontId="22" fillId="4" borderId="3" xfId="0" applyNumberFormat="1" applyFont="1" applyFill="1" applyBorder="1" applyAlignment="1">
      <alignment horizontal="center" vertical="center" wrapText="1"/>
    </xf>
    <xf numFmtId="1" fontId="22" fillId="4" borderId="4" xfId="0" applyNumberFormat="1" applyFont="1" applyFill="1" applyBorder="1" applyAlignment="1">
      <alignment horizontal="center" vertical="center" wrapText="1"/>
    </xf>
    <xf numFmtId="1" fontId="22" fillId="4" borderId="2" xfId="0" applyNumberFormat="1" applyFont="1" applyFill="1" applyBorder="1" applyAlignment="1">
      <alignment horizontal="center" vertical="center" wrapText="1"/>
    </xf>
    <xf numFmtId="1" fontId="33" fillId="4" borderId="3" xfId="0" applyNumberFormat="1" applyFont="1" applyFill="1" applyBorder="1" applyAlignment="1">
      <alignment horizontal="center"/>
    </xf>
    <xf numFmtId="1" fontId="33" fillId="4" borderId="2" xfId="0" applyNumberFormat="1" applyFont="1" applyFill="1" applyBorder="1" applyAlignment="1">
      <alignment horizontal="center"/>
    </xf>
    <xf numFmtId="1" fontId="27" fillId="0" borderId="9" xfId="0" applyNumberFormat="1" applyFont="1" applyBorder="1" applyAlignment="1">
      <alignment horizontal="center"/>
    </xf>
    <xf numFmtId="1" fontId="27" fillId="0" borderId="10" xfId="0" applyNumberFormat="1" applyFont="1" applyBorder="1" applyAlignment="1">
      <alignment horizontal="center"/>
    </xf>
    <xf numFmtId="1" fontId="16" fillId="4" borderId="3" xfId="0" applyNumberFormat="1" applyFont="1" applyFill="1" applyBorder="1" applyAlignment="1">
      <alignment horizontal="center" wrapText="1"/>
    </xf>
    <xf numFmtId="1" fontId="16" fillId="4" borderId="2" xfId="0" applyNumberFormat="1" applyFont="1" applyFill="1" applyBorder="1" applyAlignment="1">
      <alignment horizontal="center" wrapText="1"/>
    </xf>
    <xf numFmtId="1" fontId="24" fillId="0" borderId="3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4" borderId="3" xfId="0" applyNumberFormat="1" applyFill="1" applyBorder="1" applyAlignment="1">
      <alignment horizontal="center" wrapText="1"/>
    </xf>
    <xf numFmtId="1" fontId="0" fillId="4" borderId="4" xfId="0" applyNumberFormat="1" applyFill="1" applyBorder="1" applyAlignment="1">
      <alignment horizontal="center" wrapText="1"/>
    </xf>
    <xf numFmtId="1" fontId="0" fillId="4" borderId="2" xfId="0" applyNumberFormat="1" applyFill="1" applyBorder="1" applyAlignment="1">
      <alignment horizontal="center" wrapText="1"/>
    </xf>
    <xf numFmtId="1" fontId="24" fillId="4" borderId="3" xfId="0" applyNumberFormat="1" applyFont="1" applyFill="1" applyBorder="1" applyAlignment="1">
      <alignment horizontal="center" vertical="center"/>
    </xf>
    <xf numFmtId="1" fontId="24" fillId="4" borderId="4" xfId="0" applyNumberFormat="1" applyFont="1" applyFill="1" applyBorder="1" applyAlignment="1">
      <alignment horizontal="center" vertical="center"/>
    </xf>
    <xf numFmtId="1" fontId="24" fillId="4" borderId="2" xfId="0" applyNumberFormat="1" applyFont="1" applyFill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/>
    </xf>
    <xf numFmtId="1" fontId="27" fillId="0" borderId="6" xfId="0" applyNumberFormat="1" applyFont="1" applyBorder="1" applyAlignment="1">
      <alignment horizontal="center" vertical="center"/>
    </xf>
    <xf numFmtId="1" fontId="27" fillId="0" borderId="7" xfId="0" applyNumberFormat="1" applyFont="1" applyBorder="1" applyAlignment="1">
      <alignment horizontal="center" vertical="center"/>
    </xf>
    <xf numFmtId="1" fontId="27" fillId="0" borderId="8" xfId="0" applyNumberFormat="1" applyFont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 vertical="center" wrapText="1"/>
    </xf>
    <xf numFmtId="1" fontId="0" fillId="4" borderId="4" xfId="0" applyNumberFormat="1" applyFill="1" applyBorder="1" applyAlignment="1">
      <alignment horizontal="center" vertical="center" wrapText="1"/>
    </xf>
    <xf numFmtId="1" fontId="0" fillId="4" borderId="2" xfId="0" applyNumberForma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Reitings 2 2004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19"/>
  <sheetViews>
    <sheetView zoomScaleNormal="100" workbookViewId="0">
      <pane xSplit="4" ySplit="4" topLeftCell="E20" activePane="bottomRight" state="frozen"/>
      <selection pane="topRight" activeCell="E1" sqref="E1"/>
      <selection pane="bottomLeft" activeCell="A3" sqref="A3"/>
      <selection pane="bottomRight" activeCell="D44" sqref="D44"/>
    </sheetView>
  </sheetViews>
  <sheetFormatPr defaultRowHeight="15" x14ac:dyDescent="0.25"/>
  <cols>
    <col min="1" max="1" width="22.85546875" style="11" bestFit="1" customWidth="1"/>
    <col min="2" max="2" width="21.85546875" style="11" bestFit="1" customWidth="1"/>
    <col min="3" max="3" width="8.140625" style="3" bestFit="1" customWidth="1"/>
    <col min="4" max="4" width="12" style="47" bestFit="1" customWidth="1"/>
    <col min="5" max="5" width="12.28515625" style="233" customWidth="1"/>
    <col min="6" max="6" width="12.28515625" style="219" customWidth="1"/>
    <col min="7" max="7" width="11" style="219" customWidth="1"/>
    <col min="8" max="8" width="2.85546875" style="219" customWidth="1"/>
    <col min="9" max="15" width="12.85546875" style="101" customWidth="1"/>
    <col min="16" max="16" width="11.140625" style="101" customWidth="1"/>
    <col min="17" max="18" width="9.140625" style="3"/>
    <col min="19" max="19" width="3.85546875" style="101" customWidth="1"/>
    <col min="20" max="20" width="12.85546875" style="101" customWidth="1"/>
    <col min="21" max="25" width="11.140625" style="101" customWidth="1"/>
    <col min="26" max="27" width="9.140625" style="3"/>
    <col min="28" max="28" width="3.85546875" style="101" customWidth="1"/>
    <col min="29" max="29" width="8.85546875" style="41" customWidth="1"/>
    <col min="30" max="30" width="11" style="41" customWidth="1"/>
    <col min="31" max="34" width="9.5703125" style="41" customWidth="1"/>
    <col min="35" max="35" width="8.85546875" style="13" customWidth="1"/>
    <col min="36" max="36" width="10.85546875" style="3" customWidth="1"/>
    <col min="37" max="16384" width="9.140625" style="3"/>
  </cols>
  <sheetData>
    <row r="1" spans="1:38" ht="15" customHeight="1" x14ac:dyDescent="0.5">
      <c r="A1" s="244" t="s">
        <v>35</v>
      </c>
      <c r="B1" s="245"/>
      <c r="C1" s="40"/>
      <c r="D1" s="48"/>
      <c r="E1" s="102"/>
      <c r="F1" s="102"/>
      <c r="G1" s="102"/>
      <c r="H1" s="102"/>
      <c r="I1" s="109"/>
      <c r="J1" s="109"/>
      <c r="K1" s="109"/>
      <c r="L1" s="109"/>
      <c r="M1" s="109"/>
      <c r="N1" s="109"/>
      <c r="O1" s="109"/>
      <c r="P1" s="109"/>
      <c r="S1" s="109"/>
      <c r="T1" s="109"/>
      <c r="U1" s="109"/>
      <c r="V1" s="109"/>
      <c r="W1" s="109"/>
      <c r="X1" s="109"/>
      <c r="Y1" s="109"/>
      <c r="AB1" s="109"/>
      <c r="AC1" s="43"/>
      <c r="AD1" s="43"/>
      <c r="AE1" s="43"/>
      <c r="AF1" s="43"/>
      <c r="AG1" s="43"/>
      <c r="AH1" s="43"/>
      <c r="AI1" s="39"/>
    </row>
    <row r="2" spans="1:38" ht="15" customHeight="1" x14ac:dyDescent="0.5">
      <c r="A2" s="246"/>
      <c r="B2" s="247"/>
      <c r="C2" s="40"/>
      <c r="D2" s="48"/>
      <c r="E2" s="103"/>
      <c r="F2" s="103"/>
      <c r="G2" s="103"/>
      <c r="H2" s="103"/>
      <c r="I2" s="109"/>
      <c r="J2" s="109"/>
      <c r="K2" s="109"/>
      <c r="L2" s="109"/>
      <c r="M2" s="109"/>
      <c r="N2" s="109"/>
      <c r="O2" s="109"/>
      <c r="P2" s="109"/>
      <c r="S2" s="109"/>
      <c r="T2" s="109"/>
      <c r="U2" s="109"/>
      <c r="V2" s="109"/>
      <c r="W2" s="109"/>
      <c r="X2" s="109"/>
      <c r="Y2" s="109"/>
      <c r="AB2" s="109"/>
      <c r="AC2" s="43"/>
      <c r="AD2" s="43"/>
      <c r="AE2" s="43"/>
      <c r="AF2" s="43"/>
      <c r="AG2" s="43"/>
      <c r="AH2" s="43"/>
      <c r="AI2" s="39"/>
    </row>
    <row r="3" spans="1:38" s="5" customFormat="1" x14ac:dyDescent="0.25">
      <c r="A3" s="10"/>
      <c r="B3" s="10"/>
      <c r="D3" s="42"/>
      <c r="E3" s="250">
        <v>2025</v>
      </c>
      <c r="F3" s="251"/>
      <c r="G3" s="219"/>
      <c r="H3" s="36"/>
      <c r="I3" s="203"/>
      <c r="J3" s="194"/>
      <c r="K3" s="184"/>
      <c r="L3" s="167"/>
      <c r="M3" s="248">
        <v>2024</v>
      </c>
      <c r="N3" s="249"/>
      <c r="O3" s="225"/>
      <c r="P3" s="184"/>
      <c r="Q3" s="6"/>
      <c r="R3" s="6"/>
      <c r="S3" s="140"/>
      <c r="T3" s="136"/>
      <c r="U3" s="132"/>
      <c r="V3" s="117"/>
      <c r="W3" s="42">
        <v>2023</v>
      </c>
      <c r="X3" s="42"/>
      <c r="Y3" s="42"/>
      <c r="AB3" s="42"/>
      <c r="AC3" s="248">
        <v>2022</v>
      </c>
      <c r="AD3" s="249"/>
      <c r="AE3" s="42"/>
      <c r="AF3" s="42"/>
      <c r="AG3" s="42"/>
      <c r="AH3" s="42"/>
      <c r="AI3" s="33"/>
    </row>
    <row r="4" spans="1:38" s="5" customFormat="1" ht="107.25" customHeight="1" x14ac:dyDescent="0.25">
      <c r="A4" s="5" t="s">
        <v>1</v>
      </c>
      <c r="B4" s="10" t="s">
        <v>2</v>
      </c>
      <c r="C4" s="5" t="s">
        <v>3</v>
      </c>
      <c r="D4" s="49" t="s">
        <v>1091</v>
      </c>
      <c r="E4" s="239" t="s">
        <v>1090</v>
      </c>
      <c r="F4" s="231" t="s">
        <v>4</v>
      </c>
      <c r="G4" s="119" t="s">
        <v>5</v>
      </c>
      <c r="H4" s="231"/>
      <c r="I4" s="210" t="s">
        <v>463</v>
      </c>
      <c r="J4" s="201" t="s">
        <v>392</v>
      </c>
      <c r="K4" s="175" t="s">
        <v>228</v>
      </c>
      <c r="L4" s="175" t="s">
        <v>879</v>
      </c>
      <c r="M4" s="129" t="s">
        <v>292</v>
      </c>
      <c r="N4" s="147" t="s">
        <v>4</v>
      </c>
      <c r="O4" s="226" t="s">
        <v>546</v>
      </c>
      <c r="P4" s="95" t="s">
        <v>5</v>
      </c>
      <c r="Q4" s="96" t="s">
        <v>1073</v>
      </c>
      <c r="R4" s="97" t="s">
        <v>544</v>
      </c>
      <c r="S4" s="140"/>
      <c r="T4" s="139" t="s">
        <v>392</v>
      </c>
      <c r="U4" s="135" t="s">
        <v>228</v>
      </c>
      <c r="V4" s="129" t="s">
        <v>292</v>
      </c>
      <c r="W4" s="116" t="s">
        <v>4</v>
      </c>
      <c r="X4" s="105" t="s">
        <v>546</v>
      </c>
      <c r="Y4" s="95" t="s">
        <v>5</v>
      </c>
      <c r="Z4" s="96" t="s">
        <v>760</v>
      </c>
      <c r="AA4" s="97" t="s">
        <v>544</v>
      </c>
      <c r="AB4" s="42"/>
      <c r="AC4" s="44" t="s">
        <v>4</v>
      </c>
      <c r="AD4" s="59" t="s">
        <v>62</v>
      </c>
      <c r="AE4" s="73" t="s">
        <v>228</v>
      </c>
      <c r="AF4" s="79" t="s">
        <v>292</v>
      </c>
      <c r="AG4" s="81" t="s">
        <v>392</v>
      </c>
      <c r="AH4" s="93" t="s">
        <v>463</v>
      </c>
      <c r="AI4" s="33" t="s">
        <v>34</v>
      </c>
      <c r="AJ4" s="95" t="s">
        <v>5</v>
      </c>
      <c r="AK4" s="96" t="s">
        <v>543</v>
      </c>
      <c r="AL4" s="97" t="s">
        <v>544</v>
      </c>
    </row>
    <row r="5" spans="1:38" s="5" customFormat="1" x14ac:dyDescent="0.25">
      <c r="A5" s="182" t="s">
        <v>885</v>
      </c>
      <c r="B5" s="10"/>
      <c r="D5" s="49"/>
      <c r="E5" s="233"/>
      <c r="F5" s="219"/>
      <c r="G5" s="120"/>
      <c r="H5" s="219"/>
      <c r="I5" s="176"/>
      <c r="J5" s="176"/>
      <c r="K5" s="176"/>
      <c r="L5" s="176"/>
      <c r="M5" s="177"/>
      <c r="N5" s="178"/>
      <c r="O5" s="178"/>
      <c r="P5" s="157"/>
      <c r="Q5" s="96"/>
      <c r="R5" s="97"/>
      <c r="S5" s="167"/>
      <c r="T5" s="179"/>
      <c r="U5" s="180"/>
      <c r="V5" s="177"/>
      <c r="W5" s="181"/>
      <c r="X5" s="111"/>
      <c r="Y5" s="157"/>
      <c r="Z5" s="96"/>
      <c r="AA5" s="97"/>
      <c r="AB5" s="167"/>
      <c r="AC5" s="169"/>
      <c r="AD5" s="59"/>
      <c r="AE5" s="73"/>
      <c r="AF5" s="79"/>
      <c r="AG5" s="81"/>
      <c r="AH5" s="93"/>
      <c r="AI5" s="33"/>
      <c r="AJ5" s="95"/>
      <c r="AK5" s="96"/>
      <c r="AL5" s="97"/>
    </row>
    <row r="6" spans="1:38" x14ac:dyDescent="0.25">
      <c r="A6" s="45" t="s">
        <v>452</v>
      </c>
      <c r="B6" s="66" t="s">
        <v>406</v>
      </c>
      <c r="C6" s="46">
        <v>2018</v>
      </c>
      <c r="D6" s="47">
        <f>R6+E6+F6</f>
        <v>0</v>
      </c>
      <c r="G6" s="120"/>
      <c r="I6" s="108"/>
      <c r="J6" s="108"/>
      <c r="K6" s="108"/>
      <c r="L6" s="108"/>
      <c r="M6" s="108"/>
      <c r="N6" s="108"/>
      <c r="O6" s="108">
        <f>AA6</f>
        <v>0</v>
      </c>
      <c r="P6" s="122"/>
      <c r="Q6" s="96">
        <f>I6+J6+K6+L6+M6+N6+O6</f>
        <v>0</v>
      </c>
      <c r="R6" s="97">
        <f>IF(C6=2017, Q6/3,Q6)+P6</f>
        <v>0</v>
      </c>
      <c r="T6" s="108"/>
      <c r="U6" s="108"/>
      <c r="V6" s="108"/>
      <c r="W6" s="108"/>
      <c r="X6" s="108">
        <f>AL6</f>
        <v>0</v>
      </c>
      <c r="Y6" s="122"/>
      <c r="Z6" s="96">
        <f>SUM(T6:X6)</f>
        <v>0</v>
      </c>
      <c r="AA6" s="97">
        <f t="shared" ref="AA6:AA26" si="0">Z6</f>
        <v>0</v>
      </c>
      <c r="AG6" s="41">
        <f>0</f>
        <v>0</v>
      </c>
      <c r="AI6" s="78"/>
      <c r="AK6" s="3">
        <f>SUM(AC6:AJ6)</f>
        <v>0</v>
      </c>
      <c r="AL6" s="3">
        <f>AK6</f>
        <v>0</v>
      </c>
    </row>
    <row r="7" spans="1:38" x14ac:dyDescent="0.25">
      <c r="A7" s="45" t="s">
        <v>717</v>
      </c>
      <c r="B7" s="66" t="s">
        <v>63</v>
      </c>
      <c r="C7" s="46">
        <v>2018</v>
      </c>
      <c r="D7" s="47">
        <f t="shared" ref="D7:D46" si="1">R7+E7+F7</f>
        <v>3</v>
      </c>
      <c r="G7" s="154"/>
      <c r="I7" s="108"/>
      <c r="J7" s="108"/>
      <c r="K7" s="108"/>
      <c r="L7" s="108"/>
      <c r="M7" s="108"/>
      <c r="N7" s="108"/>
      <c r="O7" s="108">
        <f t="shared" ref="O7:O29" si="2">AA7</f>
        <v>3</v>
      </c>
      <c r="P7" s="122"/>
      <c r="Q7" s="96">
        <f t="shared" ref="Q7:Q31" si="3">I7+J7+K7+L7+M7+N7+O7</f>
        <v>3</v>
      </c>
      <c r="R7" s="97">
        <f t="shared" ref="R7:R31" si="4">IF(C7=2017, Q7/3,Q7)+P7</f>
        <v>3</v>
      </c>
      <c r="T7" s="108">
        <f>3</f>
        <v>3</v>
      </c>
      <c r="U7" s="108"/>
      <c r="V7" s="108"/>
      <c r="W7" s="108"/>
      <c r="X7" s="108"/>
      <c r="Y7" s="122"/>
      <c r="Z7" s="96">
        <f t="shared" ref="Z7:Z26" si="5">SUM(T7:X7)</f>
        <v>3</v>
      </c>
      <c r="AA7" s="97">
        <f t="shared" si="0"/>
        <v>3</v>
      </c>
      <c r="AI7" s="137"/>
    </row>
    <row r="8" spans="1:38" x14ac:dyDescent="0.25">
      <c r="A8" s="71" t="s">
        <v>229</v>
      </c>
      <c r="B8" s="66" t="s">
        <v>64</v>
      </c>
      <c r="C8" s="46"/>
      <c r="D8" s="47">
        <f t="shared" si="1"/>
        <v>27</v>
      </c>
      <c r="G8" s="120"/>
      <c r="I8" s="108"/>
      <c r="J8" s="108"/>
      <c r="K8" s="108"/>
      <c r="L8" s="108"/>
      <c r="M8" s="108"/>
      <c r="N8" s="108"/>
      <c r="O8" s="108">
        <f t="shared" si="2"/>
        <v>27</v>
      </c>
      <c r="P8" s="122"/>
      <c r="Q8" s="96">
        <f t="shared" si="3"/>
        <v>27</v>
      </c>
      <c r="R8" s="97">
        <f t="shared" si="4"/>
        <v>27</v>
      </c>
      <c r="T8" s="108"/>
      <c r="U8" s="108"/>
      <c r="V8" s="108"/>
      <c r="W8" s="108"/>
      <c r="X8" s="108">
        <f>AL8</f>
        <v>27</v>
      </c>
      <c r="Y8" s="122"/>
      <c r="Z8" s="96">
        <f t="shared" si="5"/>
        <v>27</v>
      </c>
      <c r="AA8" s="97">
        <f t="shared" si="0"/>
        <v>27</v>
      </c>
      <c r="AE8" s="41">
        <f>27</f>
        <v>27</v>
      </c>
      <c r="AI8" s="37"/>
      <c r="AK8" s="3">
        <f>SUM(AC8:AJ8)</f>
        <v>27</v>
      </c>
      <c r="AL8" s="3">
        <f>AK8</f>
        <v>27</v>
      </c>
    </row>
    <row r="9" spans="1:38" x14ac:dyDescent="0.25">
      <c r="A9" s="71" t="s">
        <v>713</v>
      </c>
      <c r="B9" s="66" t="s">
        <v>63</v>
      </c>
      <c r="C9" s="46">
        <v>2019</v>
      </c>
      <c r="D9" s="47">
        <f t="shared" si="1"/>
        <v>12</v>
      </c>
      <c r="G9" s="154"/>
      <c r="I9" s="108"/>
      <c r="J9" s="108"/>
      <c r="K9" s="108">
        <f>0</f>
        <v>0</v>
      </c>
      <c r="L9" s="108">
        <f>6+3</f>
        <v>9</v>
      </c>
      <c r="M9" s="108">
        <f>0</f>
        <v>0</v>
      </c>
      <c r="N9" s="108"/>
      <c r="O9" s="108">
        <f t="shared" si="2"/>
        <v>3</v>
      </c>
      <c r="P9" s="122"/>
      <c r="Q9" s="96">
        <f t="shared" si="3"/>
        <v>12</v>
      </c>
      <c r="R9" s="97">
        <f t="shared" si="4"/>
        <v>12</v>
      </c>
      <c r="T9" s="108">
        <f>3</f>
        <v>3</v>
      </c>
      <c r="U9" s="108"/>
      <c r="V9" s="108"/>
      <c r="W9" s="108"/>
      <c r="X9" s="108"/>
      <c r="Y9" s="122"/>
      <c r="Z9" s="96">
        <f t="shared" si="5"/>
        <v>3</v>
      </c>
      <c r="AA9" s="97">
        <f t="shared" si="0"/>
        <v>3</v>
      </c>
      <c r="AI9" s="57"/>
    </row>
    <row r="10" spans="1:38" x14ac:dyDescent="0.25">
      <c r="A10" s="71" t="s">
        <v>712</v>
      </c>
      <c r="B10" s="66" t="s">
        <v>63</v>
      </c>
      <c r="C10" s="46">
        <v>2018</v>
      </c>
      <c r="D10" s="47">
        <f t="shared" si="1"/>
        <v>9</v>
      </c>
      <c r="E10" s="156"/>
      <c r="F10" s="156"/>
      <c r="G10" s="154"/>
      <c r="H10" s="156"/>
      <c r="I10" s="108"/>
      <c r="J10" s="108"/>
      <c r="K10" s="108"/>
      <c r="L10" s="108"/>
      <c r="M10" s="108"/>
      <c r="N10" s="108"/>
      <c r="O10" s="108">
        <f t="shared" si="2"/>
        <v>9</v>
      </c>
      <c r="P10" s="122"/>
      <c r="Q10" s="96">
        <f t="shared" si="3"/>
        <v>9</v>
      </c>
      <c r="R10" s="97">
        <f t="shared" si="4"/>
        <v>9</v>
      </c>
      <c r="T10" s="108">
        <f>9</f>
        <v>9</v>
      </c>
      <c r="U10" s="108"/>
      <c r="V10" s="108"/>
      <c r="W10" s="108"/>
      <c r="X10" s="108"/>
      <c r="Y10" s="122"/>
      <c r="Z10" s="96">
        <f t="shared" si="5"/>
        <v>9</v>
      </c>
      <c r="AA10" s="97">
        <f t="shared" si="0"/>
        <v>9</v>
      </c>
      <c r="AI10" s="137"/>
    </row>
    <row r="11" spans="1:38" x14ac:dyDescent="0.25">
      <c r="A11" s="71" t="s">
        <v>604</v>
      </c>
      <c r="B11" s="66" t="s">
        <v>602</v>
      </c>
      <c r="C11" s="46"/>
      <c r="D11" s="47">
        <f t="shared" si="1"/>
        <v>17</v>
      </c>
      <c r="G11" s="120"/>
      <c r="I11" s="108"/>
      <c r="J11" s="108"/>
      <c r="K11" s="108"/>
      <c r="L11" s="108"/>
      <c r="M11" s="108"/>
      <c r="N11" s="108"/>
      <c r="O11" s="108">
        <f t="shared" si="2"/>
        <v>17</v>
      </c>
      <c r="P11" s="122"/>
      <c r="Q11" s="96">
        <f t="shared" si="3"/>
        <v>17</v>
      </c>
      <c r="R11" s="97">
        <f t="shared" si="4"/>
        <v>17</v>
      </c>
      <c r="T11" s="108"/>
      <c r="U11" s="108"/>
      <c r="V11" s="108">
        <f>17</f>
        <v>17</v>
      </c>
      <c r="W11" s="108"/>
      <c r="X11" s="108"/>
      <c r="Y11" s="122"/>
      <c r="Z11" s="96">
        <f t="shared" si="5"/>
        <v>17</v>
      </c>
      <c r="AA11" s="97">
        <f t="shared" si="0"/>
        <v>17</v>
      </c>
      <c r="AI11" s="114"/>
    </row>
    <row r="12" spans="1:38" x14ac:dyDescent="0.25">
      <c r="A12" s="71" t="s">
        <v>446</v>
      </c>
      <c r="B12" s="66" t="s">
        <v>63</v>
      </c>
      <c r="C12" s="72">
        <v>2018</v>
      </c>
      <c r="D12" s="47">
        <f t="shared" si="1"/>
        <v>23</v>
      </c>
      <c r="G12" s="154"/>
      <c r="I12" s="108">
        <f>0</f>
        <v>0</v>
      </c>
      <c r="J12" s="108">
        <f>0</f>
        <v>0</v>
      </c>
      <c r="K12" s="108">
        <f>0</f>
        <v>0</v>
      </c>
      <c r="L12" s="108">
        <f>0+3</f>
        <v>3</v>
      </c>
      <c r="M12" s="108">
        <f>6</f>
        <v>6</v>
      </c>
      <c r="N12" s="108"/>
      <c r="O12" s="108">
        <f t="shared" si="2"/>
        <v>14</v>
      </c>
      <c r="P12" s="122"/>
      <c r="Q12" s="96">
        <f t="shared" si="3"/>
        <v>23</v>
      </c>
      <c r="R12" s="97">
        <f t="shared" si="4"/>
        <v>23</v>
      </c>
      <c r="T12" s="108">
        <f>6</f>
        <v>6</v>
      </c>
      <c r="U12" s="108">
        <f>0</f>
        <v>0</v>
      </c>
      <c r="V12" s="108">
        <f>0</f>
        <v>0</v>
      </c>
      <c r="W12" s="108">
        <f>0</f>
        <v>0</v>
      </c>
      <c r="X12" s="108">
        <f>AL12</f>
        <v>8</v>
      </c>
      <c r="Y12" s="122"/>
      <c r="Z12" s="96">
        <f t="shared" si="5"/>
        <v>14</v>
      </c>
      <c r="AA12" s="97">
        <f t="shared" si="0"/>
        <v>14</v>
      </c>
      <c r="AG12" s="41">
        <f>8</f>
        <v>8</v>
      </c>
      <c r="AH12" s="41">
        <f>0</f>
        <v>0</v>
      </c>
      <c r="AK12" s="3">
        <f>SUM(AC12:AJ12)</f>
        <v>8</v>
      </c>
      <c r="AL12" s="3">
        <f>AK12</f>
        <v>8</v>
      </c>
    </row>
    <row r="13" spans="1:38" x14ac:dyDescent="0.25">
      <c r="A13" s="45" t="s">
        <v>453</v>
      </c>
      <c r="B13" s="66" t="s">
        <v>7</v>
      </c>
      <c r="C13" s="46">
        <v>2018</v>
      </c>
      <c r="D13" s="47">
        <f t="shared" si="1"/>
        <v>0</v>
      </c>
      <c r="E13" s="158"/>
      <c r="F13" s="158"/>
      <c r="G13" s="120"/>
      <c r="H13" s="158"/>
      <c r="I13" s="108"/>
      <c r="J13" s="108"/>
      <c r="K13" s="108"/>
      <c r="L13" s="108"/>
      <c r="M13" s="108"/>
      <c r="N13" s="108"/>
      <c r="O13" s="108">
        <f t="shared" si="2"/>
        <v>0</v>
      </c>
      <c r="P13" s="122"/>
      <c r="Q13" s="96">
        <f t="shared" si="3"/>
        <v>0</v>
      </c>
      <c r="R13" s="97">
        <f t="shared" si="4"/>
        <v>0</v>
      </c>
      <c r="T13" s="108"/>
      <c r="U13" s="108"/>
      <c r="V13" s="108"/>
      <c r="W13" s="108"/>
      <c r="X13" s="108">
        <f>AL13</f>
        <v>0</v>
      </c>
      <c r="Y13" s="122"/>
      <c r="Z13" s="96">
        <f t="shared" si="5"/>
        <v>0</v>
      </c>
      <c r="AA13" s="97">
        <f t="shared" si="0"/>
        <v>0</v>
      </c>
      <c r="AG13" s="41">
        <f>0</f>
        <v>0</v>
      </c>
      <c r="AI13" s="190"/>
      <c r="AK13" s="3">
        <f>SUM(AC13:AJ13)</f>
        <v>0</v>
      </c>
      <c r="AL13" s="3">
        <f>AK13</f>
        <v>0</v>
      </c>
    </row>
    <row r="14" spans="1:38" x14ac:dyDescent="0.25">
      <c r="A14" s="45" t="s">
        <v>601</v>
      </c>
      <c r="B14" s="66" t="s">
        <v>602</v>
      </c>
      <c r="C14" s="46"/>
      <c r="D14" s="47">
        <f t="shared" si="1"/>
        <v>21</v>
      </c>
      <c r="G14" s="120"/>
      <c r="I14" s="108"/>
      <c r="J14" s="108"/>
      <c r="K14" s="108"/>
      <c r="L14" s="108"/>
      <c r="M14" s="108"/>
      <c r="N14" s="108"/>
      <c r="O14" s="108">
        <f t="shared" si="2"/>
        <v>21</v>
      </c>
      <c r="P14" s="122"/>
      <c r="Q14" s="96">
        <f t="shared" si="3"/>
        <v>21</v>
      </c>
      <c r="R14" s="97">
        <f t="shared" si="4"/>
        <v>21</v>
      </c>
      <c r="T14" s="108"/>
      <c r="U14" s="108"/>
      <c r="V14" s="108">
        <f>21</f>
        <v>21</v>
      </c>
      <c r="W14" s="108"/>
      <c r="X14" s="108"/>
      <c r="Y14" s="122"/>
      <c r="Z14" s="96">
        <f t="shared" si="5"/>
        <v>21</v>
      </c>
      <c r="AA14" s="97">
        <f t="shared" si="0"/>
        <v>21</v>
      </c>
      <c r="AI14" s="114"/>
    </row>
    <row r="15" spans="1:38" x14ac:dyDescent="0.25">
      <c r="A15" s="45" t="s">
        <v>435</v>
      </c>
      <c r="B15" s="66" t="s">
        <v>406</v>
      </c>
      <c r="C15" s="46">
        <v>2018</v>
      </c>
      <c r="D15" s="47">
        <f t="shared" si="1"/>
        <v>3</v>
      </c>
      <c r="G15" s="120"/>
      <c r="I15" s="108">
        <f>1+1</f>
        <v>2</v>
      </c>
      <c r="J15" s="108"/>
      <c r="K15" s="108"/>
      <c r="L15" s="108">
        <f>0+1</f>
        <v>1</v>
      </c>
      <c r="M15" s="108"/>
      <c r="N15" s="108"/>
      <c r="O15" s="108">
        <f t="shared" si="2"/>
        <v>0</v>
      </c>
      <c r="P15" s="122"/>
      <c r="Q15" s="96">
        <f t="shared" si="3"/>
        <v>3</v>
      </c>
      <c r="R15" s="97">
        <f t="shared" si="4"/>
        <v>3</v>
      </c>
      <c r="T15" s="108"/>
      <c r="U15" s="108"/>
      <c r="V15" s="108"/>
      <c r="W15" s="108"/>
      <c r="X15" s="108">
        <f>AL15</f>
        <v>0</v>
      </c>
      <c r="Y15" s="122"/>
      <c r="Z15" s="96">
        <f t="shared" si="5"/>
        <v>0</v>
      </c>
      <c r="AA15" s="97">
        <f t="shared" si="0"/>
        <v>0</v>
      </c>
      <c r="AG15" s="41">
        <f>0</f>
        <v>0</v>
      </c>
      <c r="AI15" s="41"/>
      <c r="AK15" s="3">
        <f>SUM(AC15:AJ15)</f>
        <v>0</v>
      </c>
      <c r="AL15" s="3">
        <f>AK15</f>
        <v>0</v>
      </c>
    </row>
    <row r="16" spans="1:38" x14ac:dyDescent="0.25">
      <c r="A16" s="45" t="s">
        <v>450</v>
      </c>
      <c r="B16" s="66" t="s">
        <v>7</v>
      </c>
      <c r="C16" s="46">
        <v>2018</v>
      </c>
      <c r="D16" s="47">
        <f t="shared" si="1"/>
        <v>3</v>
      </c>
      <c r="G16" s="154"/>
      <c r="I16" s="108"/>
      <c r="J16" s="108"/>
      <c r="K16" s="108"/>
      <c r="L16" s="108"/>
      <c r="M16" s="108"/>
      <c r="N16" s="108"/>
      <c r="O16" s="108">
        <f t="shared" si="2"/>
        <v>3</v>
      </c>
      <c r="P16" s="122"/>
      <c r="Q16" s="96">
        <f t="shared" si="3"/>
        <v>3</v>
      </c>
      <c r="R16" s="97">
        <f t="shared" si="4"/>
        <v>3</v>
      </c>
      <c r="T16" s="108"/>
      <c r="U16" s="108"/>
      <c r="V16" s="108"/>
      <c r="W16" s="108"/>
      <c r="X16" s="108">
        <f>AL16</f>
        <v>3</v>
      </c>
      <c r="Y16" s="122"/>
      <c r="Z16" s="96">
        <f t="shared" si="5"/>
        <v>3</v>
      </c>
      <c r="AA16" s="97">
        <f t="shared" si="0"/>
        <v>3</v>
      </c>
      <c r="AG16" s="41">
        <f>3</f>
        <v>3</v>
      </c>
      <c r="AI16" s="41"/>
      <c r="AK16" s="3">
        <f>SUM(AC16:AJ16)</f>
        <v>3</v>
      </c>
      <c r="AL16" s="3">
        <f>AK16</f>
        <v>3</v>
      </c>
    </row>
    <row r="17" spans="1:38" x14ac:dyDescent="0.25">
      <c r="A17" s="45" t="s">
        <v>605</v>
      </c>
      <c r="B17" s="66" t="s">
        <v>36</v>
      </c>
      <c r="C17" s="46">
        <v>2019</v>
      </c>
      <c r="D17" s="47">
        <f t="shared" si="1"/>
        <v>6</v>
      </c>
      <c r="E17" s="233">
        <v>0</v>
      </c>
      <c r="G17" s="154"/>
      <c r="I17" s="108"/>
      <c r="J17" s="108"/>
      <c r="K17" s="108"/>
      <c r="L17" s="108">
        <f>3</f>
        <v>3</v>
      </c>
      <c r="M17" s="108"/>
      <c r="N17" s="108"/>
      <c r="O17" s="108">
        <f t="shared" si="2"/>
        <v>3</v>
      </c>
      <c r="P17" s="122"/>
      <c r="Q17" s="96">
        <f t="shared" si="3"/>
        <v>6</v>
      </c>
      <c r="R17" s="97">
        <f t="shared" si="4"/>
        <v>6</v>
      </c>
      <c r="T17" s="108"/>
      <c r="U17" s="108">
        <f>0</f>
        <v>0</v>
      </c>
      <c r="V17" s="108">
        <f>3</f>
        <v>3</v>
      </c>
      <c r="W17" s="108"/>
      <c r="X17" s="108"/>
      <c r="Y17" s="122"/>
      <c r="Z17" s="96">
        <f t="shared" si="5"/>
        <v>3</v>
      </c>
      <c r="AA17" s="97">
        <f t="shared" si="0"/>
        <v>3</v>
      </c>
      <c r="AI17" s="114"/>
    </row>
    <row r="18" spans="1:38" x14ac:dyDescent="0.25">
      <c r="A18" s="45" t="s">
        <v>290</v>
      </c>
      <c r="B18" s="66" t="s">
        <v>0</v>
      </c>
      <c r="C18" s="46">
        <v>2018</v>
      </c>
      <c r="D18" s="47">
        <f t="shared" si="1"/>
        <v>97</v>
      </c>
      <c r="E18" s="233">
        <f>0+3</f>
        <v>3</v>
      </c>
      <c r="G18" s="120"/>
      <c r="I18" s="108">
        <f>0</f>
        <v>0</v>
      </c>
      <c r="J18" s="108">
        <f>6</f>
        <v>6</v>
      </c>
      <c r="K18" s="108">
        <f>3</f>
        <v>3</v>
      </c>
      <c r="L18" s="108">
        <f>3</f>
        <v>3</v>
      </c>
      <c r="M18" s="108">
        <f>15</f>
        <v>15</v>
      </c>
      <c r="N18" s="108"/>
      <c r="O18" s="108">
        <f t="shared" si="2"/>
        <v>67</v>
      </c>
      <c r="P18" s="122"/>
      <c r="Q18" s="96">
        <f t="shared" si="3"/>
        <v>94</v>
      </c>
      <c r="R18" s="97">
        <f t="shared" si="4"/>
        <v>94</v>
      </c>
      <c r="T18" s="108">
        <f>12</f>
        <v>12</v>
      </c>
      <c r="U18" s="108">
        <f>9</f>
        <v>9</v>
      </c>
      <c r="V18" s="108">
        <f>15</f>
        <v>15</v>
      </c>
      <c r="W18" s="108">
        <f>9</f>
        <v>9</v>
      </c>
      <c r="X18" s="108">
        <f>AL18</f>
        <v>22</v>
      </c>
      <c r="Y18" s="122"/>
      <c r="Z18" s="96">
        <f t="shared" si="5"/>
        <v>67</v>
      </c>
      <c r="AA18" s="97">
        <f t="shared" si="0"/>
        <v>67</v>
      </c>
      <c r="AE18" s="41">
        <f>3</f>
        <v>3</v>
      </c>
      <c r="AF18" s="41">
        <f>3</f>
        <v>3</v>
      </c>
      <c r="AG18" s="41">
        <f>10</f>
        <v>10</v>
      </c>
      <c r="AH18" s="41">
        <f>6</f>
        <v>6</v>
      </c>
      <c r="AI18" s="69"/>
      <c r="AK18" s="3">
        <f>SUM(AC18:AJ18)</f>
        <v>22</v>
      </c>
      <c r="AL18" s="3">
        <f>AK18</f>
        <v>22</v>
      </c>
    </row>
    <row r="19" spans="1:38" x14ac:dyDescent="0.25">
      <c r="A19" s="45" t="s">
        <v>79</v>
      </c>
      <c r="B19" s="66" t="s">
        <v>64</v>
      </c>
      <c r="C19" s="46"/>
      <c r="D19" s="47">
        <f t="shared" si="1"/>
        <v>42</v>
      </c>
      <c r="G19" s="120"/>
      <c r="I19" s="108"/>
      <c r="J19" s="108"/>
      <c r="K19" s="108"/>
      <c r="L19" s="108"/>
      <c r="M19" s="108"/>
      <c r="N19" s="108"/>
      <c r="O19" s="108">
        <f t="shared" si="2"/>
        <v>42</v>
      </c>
      <c r="P19" s="122"/>
      <c r="Q19" s="96">
        <f t="shared" si="3"/>
        <v>42</v>
      </c>
      <c r="R19" s="97">
        <f t="shared" si="4"/>
        <v>42</v>
      </c>
      <c r="T19" s="108"/>
      <c r="U19" s="108"/>
      <c r="V19" s="108"/>
      <c r="W19" s="108"/>
      <c r="X19" s="108">
        <f>AL19</f>
        <v>42</v>
      </c>
      <c r="Y19" s="122"/>
      <c r="Z19" s="96">
        <f t="shared" si="5"/>
        <v>42</v>
      </c>
      <c r="AA19" s="97">
        <f t="shared" si="0"/>
        <v>42</v>
      </c>
      <c r="AD19" s="41">
        <v>42</v>
      </c>
      <c r="AK19" s="3">
        <f>SUM(AC19:AJ19)</f>
        <v>42</v>
      </c>
      <c r="AL19" s="3">
        <f>AK19</f>
        <v>42</v>
      </c>
    </row>
    <row r="20" spans="1:38" x14ac:dyDescent="0.25">
      <c r="A20" s="45" t="s">
        <v>75</v>
      </c>
      <c r="B20" s="66" t="s">
        <v>64</v>
      </c>
      <c r="C20" s="46"/>
      <c r="D20" s="47">
        <f t="shared" si="1"/>
        <v>0</v>
      </c>
      <c r="G20" s="120"/>
      <c r="I20" s="108"/>
      <c r="J20" s="108"/>
      <c r="K20" s="108"/>
      <c r="L20" s="108"/>
      <c r="M20" s="108"/>
      <c r="N20" s="108"/>
      <c r="O20" s="108">
        <f t="shared" si="2"/>
        <v>0</v>
      </c>
      <c r="P20" s="122"/>
      <c r="Q20" s="96">
        <f t="shared" si="3"/>
        <v>0</v>
      </c>
      <c r="R20" s="97">
        <f t="shared" si="4"/>
        <v>0</v>
      </c>
      <c r="T20" s="108"/>
      <c r="U20" s="108"/>
      <c r="V20" s="108"/>
      <c r="W20" s="108"/>
      <c r="X20" s="108">
        <f>AL20</f>
        <v>0</v>
      </c>
      <c r="Y20" s="122"/>
      <c r="Z20" s="96">
        <f t="shared" si="5"/>
        <v>0</v>
      </c>
      <c r="AA20" s="97">
        <f t="shared" si="0"/>
        <v>0</v>
      </c>
      <c r="AD20" s="41">
        <v>0</v>
      </c>
      <c r="AK20" s="3">
        <f>SUM(AC20:AJ20)</f>
        <v>0</v>
      </c>
      <c r="AL20" s="3">
        <f>AK20</f>
        <v>0</v>
      </c>
    </row>
    <row r="21" spans="1:38" x14ac:dyDescent="0.25">
      <c r="A21" s="45" t="s">
        <v>293</v>
      </c>
      <c r="B21" s="66" t="s">
        <v>63</v>
      </c>
      <c r="C21" s="46"/>
      <c r="D21" s="47">
        <f t="shared" si="1"/>
        <v>0</v>
      </c>
      <c r="G21" s="120"/>
      <c r="I21" s="108"/>
      <c r="J21" s="108"/>
      <c r="K21" s="108"/>
      <c r="L21" s="108"/>
      <c r="M21" s="108"/>
      <c r="N21" s="108"/>
      <c r="O21" s="108">
        <f t="shared" si="2"/>
        <v>0</v>
      </c>
      <c r="P21" s="122"/>
      <c r="Q21" s="96">
        <f t="shared" si="3"/>
        <v>0</v>
      </c>
      <c r="R21" s="97">
        <f t="shared" si="4"/>
        <v>0</v>
      </c>
      <c r="T21" s="108"/>
      <c r="U21" s="108"/>
      <c r="V21" s="108"/>
      <c r="W21" s="108"/>
      <c r="X21" s="108">
        <f>AL21</f>
        <v>0</v>
      </c>
      <c r="Y21" s="122"/>
      <c r="Z21" s="96">
        <f t="shared" si="5"/>
        <v>0</v>
      </c>
      <c r="AA21" s="97">
        <f t="shared" si="0"/>
        <v>0</v>
      </c>
      <c r="AF21" s="41">
        <f>0</f>
        <v>0</v>
      </c>
      <c r="AK21" s="3">
        <f>SUM(AC21:AJ21)</f>
        <v>0</v>
      </c>
      <c r="AL21" s="3">
        <f>AK21</f>
        <v>0</v>
      </c>
    </row>
    <row r="22" spans="1:38" x14ac:dyDescent="0.25">
      <c r="A22" s="45" t="s">
        <v>73</v>
      </c>
      <c r="B22" s="66" t="s">
        <v>64</v>
      </c>
      <c r="C22" s="46"/>
      <c r="D22" s="47">
        <f t="shared" si="1"/>
        <v>3</v>
      </c>
      <c r="E22" s="156"/>
      <c r="F22" s="156"/>
      <c r="G22" s="122"/>
      <c r="H22" s="156"/>
      <c r="I22" s="108"/>
      <c r="J22" s="108"/>
      <c r="K22" s="108"/>
      <c r="L22" s="108"/>
      <c r="M22" s="108"/>
      <c r="N22" s="108"/>
      <c r="O22" s="108">
        <f t="shared" si="2"/>
        <v>3</v>
      </c>
      <c r="P22" s="122"/>
      <c r="Q22" s="96">
        <f t="shared" si="3"/>
        <v>3</v>
      </c>
      <c r="R22" s="97">
        <f t="shared" si="4"/>
        <v>3</v>
      </c>
      <c r="T22" s="108"/>
      <c r="U22" s="108"/>
      <c r="V22" s="108"/>
      <c r="W22" s="108"/>
      <c r="X22" s="108">
        <f>AL22</f>
        <v>3</v>
      </c>
      <c r="Y22" s="122"/>
      <c r="Z22" s="96">
        <f t="shared" si="5"/>
        <v>3</v>
      </c>
      <c r="AA22" s="97">
        <f t="shared" si="0"/>
        <v>3</v>
      </c>
      <c r="AD22" s="41">
        <v>3</v>
      </c>
      <c r="AK22" s="3">
        <f>SUM(AC22:AJ22)</f>
        <v>3</v>
      </c>
      <c r="AL22" s="3">
        <f>AK22</f>
        <v>3</v>
      </c>
    </row>
    <row r="23" spans="1:38" x14ac:dyDescent="0.25">
      <c r="A23" s="71" t="s">
        <v>547</v>
      </c>
      <c r="B23" s="11" t="s">
        <v>0</v>
      </c>
      <c r="C23" s="3">
        <v>2019</v>
      </c>
      <c r="D23" s="47">
        <f t="shared" si="1"/>
        <v>69</v>
      </c>
      <c r="E23" s="233">
        <v>6</v>
      </c>
      <c r="G23" s="120"/>
      <c r="I23" s="108">
        <f>12</f>
        <v>12</v>
      </c>
      <c r="J23" s="108">
        <f>3</f>
        <v>3</v>
      </c>
      <c r="K23" s="108"/>
      <c r="L23" s="108">
        <f>12</f>
        <v>12</v>
      </c>
      <c r="M23" s="108">
        <f>6</f>
        <v>6</v>
      </c>
      <c r="N23" s="108">
        <v>0</v>
      </c>
      <c r="O23" s="108">
        <f t="shared" si="2"/>
        <v>30</v>
      </c>
      <c r="P23" s="122"/>
      <c r="Q23" s="96">
        <f t="shared" si="3"/>
        <v>63</v>
      </c>
      <c r="R23" s="97">
        <f t="shared" si="4"/>
        <v>63</v>
      </c>
      <c r="T23" s="108">
        <f>6</f>
        <v>6</v>
      </c>
      <c r="U23" s="108">
        <f>6</f>
        <v>6</v>
      </c>
      <c r="V23" s="108">
        <f>12</f>
        <v>12</v>
      </c>
      <c r="W23" s="108">
        <f>6</f>
        <v>6</v>
      </c>
      <c r="X23" s="108"/>
      <c r="Y23" s="122"/>
      <c r="Z23" s="96">
        <f t="shared" si="5"/>
        <v>30</v>
      </c>
      <c r="AA23" s="97">
        <f t="shared" si="0"/>
        <v>30</v>
      </c>
    </row>
    <row r="24" spans="1:38" x14ac:dyDescent="0.25">
      <c r="A24" s="45" t="s">
        <v>67</v>
      </c>
      <c r="B24" s="66" t="s">
        <v>64</v>
      </c>
      <c r="C24" s="46"/>
      <c r="D24" s="47">
        <f t="shared" si="1"/>
        <v>12</v>
      </c>
      <c r="G24" s="120"/>
      <c r="I24" s="108"/>
      <c r="J24" s="108"/>
      <c r="K24" s="108"/>
      <c r="L24" s="108"/>
      <c r="M24" s="108"/>
      <c r="N24" s="108"/>
      <c r="O24" s="108">
        <f t="shared" si="2"/>
        <v>12</v>
      </c>
      <c r="P24" s="122"/>
      <c r="Q24" s="96">
        <f t="shared" si="3"/>
        <v>12</v>
      </c>
      <c r="R24" s="97">
        <f t="shared" si="4"/>
        <v>12</v>
      </c>
      <c r="T24" s="108"/>
      <c r="U24" s="108"/>
      <c r="V24" s="108"/>
      <c r="W24" s="108"/>
      <c r="X24" s="108">
        <f>AL24</f>
        <v>12</v>
      </c>
      <c r="Y24" s="122"/>
      <c r="Z24" s="96">
        <f t="shared" si="5"/>
        <v>12</v>
      </c>
      <c r="AA24" s="97">
        <f t="shared" si="0"/>
        <v>12</v>
      </c>
      <c r="AD24" s="41">
        <v>12</v>
      </c>
      <c r="AI24" s="69"/>
      <c r="AK24" s="3">
        <f>SUM(AC24:AJ24)</f>
        <v>12</v>
      </c>
      <c r="AL24" s="3">
        <f>AK24</f>
        <v>12</v>
      </c>
    </row>
    <row r="25" spans="1:38" x14ac:dyDescent="0.25">
      <c r="A25" s="45" t="s">
        <v>81</v>
      </c>
      <c r="B25" s="66" t="s">
        <v>63</v>
      </c>
      <c r="C25" s="46">
        <v>2018</v>
      </c>
      <c r="D25" s="47">
        <f t="shared" si="1"/>
        <v>83</v>
      </c>
      <c r="G25" s="120"/>
      <c r="I25" s="108">
        <f>4</f>
        <v>4</v>
      </c>
      <c r="J25" s="108">
        <f>9</f>
        <v>9</v>
      </c>
      <c r="K25" s="108">
        <f>6</f>
        <v>6</v>
      </c>
      <c r="L25" s="108">
        <f>6+3</f>
        <v>9</v>
      </c>
      <c r="M25" s="108">
        <f>9+1</f>
        <v>10</v>
      </c>
      <c r="N25" s="108">
        <v>0</v>
      </c>
      <c r="O25" s="108">
        <f t="shared" si="2"/>
        <v>45</v>
      </c>
      <c r="P25" s="122"/>
      <c r="Q25" s="96">
        <f t="shared" si="3"/>
        <v>83</v>
      </c>
      <c r="R25" s="97">
        <f t="shared" si="4"/>
        <v>83</v>
      </c>
      <c r="T25" s="108">
        <f>12</f>
        <v>12</v>
      </c>
      <c r="U25" s="108">
        <f>9</f>
        <v>9</v>
      </c>
      <c r="V25" s="108">
        <f>6</f>
        <v>6</v>
      </c>
      <c r="W25" s="108">
        <f>3</f>
        <v>3</v>
      </c>
      <c r="X25" s="108">
        <f>AL25</f>
        <v>15</v>
      </c>
      <c r="Y25" s="122"/>
      <c r="Z25" s="96">
        <f t="shared" si="5"/>
        <v>45</v>
      </c>
      <c r="AA25" s="97">
        <f t="shared" si="0"/>
        <v>45</v>
      </c>
      <c r="AD25" s="41">
        <v>0</v>
      </c>
      <c r="AF25" s="41">
        <f>9</f>
        <v>9</v>
      </c>
      <c r="AG25" s="41">
        <f>3</f>
        <v>3</v>
      </c>
      <c r="AH25" s="41">
        <f>3</f>
        <v>3</v>
      </c>
      <c r="AK25" s="3">
        <f>SUM(AC25:AJ25)</f>
        <v>15</v>
      </c>
      <c r="AL25" s="3">
        <f>AK25</f>
        <v>15</v>
      </c>
    </row>
    <row r="26" spans="1:38" x14ac:dyDescent="0.25">
      <c r="A26" s="11" t="s">
        <v>682</v>
      </c>
      <c r="B26" s="66" t="s">
        <v>63</v>
      </c>
      <c r="C26" s="46">
        <v>2018</v>
      </c>
      <c r="D26" s="47">
        <f t="shared" si="1"/>
        <v>21</v>
      </c>
      <c r="G26" s="120"/>
      <c r="I26" s="108">
        <f>2</f>
        <v>2</v>
      </c>
      <c r="J26" s="108">
        <f>3</f>
        <v>3</v>
      </c>
      <c r="K26" s="108">
        <f>6</f>
        <v>6</v>
      </c>
      <c r="L26" s="108">
        <f>3+3</f>
        <v>6</v>
      </c>
      <c r="M26" s="108">
        <f>1</f>
        <v>1</v>
      </c>
      <c r="N26" s="108">
        <v>0</v>
      </c>
      <c r="O26" s="108">
        <f t="shared" si="2"/>
        <v>3</v>
      </c>
      <c r="P26" s="122"/>
      <c r="Q26" s="96">
        <f t="shared" si="3"/>
        <v>21</v>
      </c>
      <c r="R26" s="97">
        <f t="shared" si="4"/>
        <v>21</v>
      </c>
      <c r="T26" s="108">
        <f>0</f>
        <v>0</v>
      </c>
      <c r="U26" s="108">
        <f>3</f>
        <v>3</v>
      </c>
      <c r="V26" s="108"/>
      <c r="W26" s="108"/>
      <c r="X26" s="108"/>
      <c r="Y26" s="122"/>
      <c r="Z26" s="96">
        <f t="shared" si="5"/>
        <v>3</v>
      </c>
      <c r="AA26" s="97">
        <f t="shared" si="0"/>
        <v>3</v>
      </c>
    </row>
    <row r="27" spans="1:38" x14ac:dyDescent="0.25">
      <c r="A27" s="45" t="s">
        <v>832</v>
      </c>
      <c r="B27" s="66" t="s">
        <v>0</v>
      </c>
      <c r="C27" s="46">
        <v>2018</v>
      </c>
      <c r="D27" s="47">
        <f t="shared" si="1"/>
        <v>6</v>
      </c>
      <c r="E27" s="233">
        <f>3+3</f>
        <v>6</v>
      </c>
      <c r="G27" s="120"/>
      <c r="I27" s="108">
        <f>8+2</f>
        <v>10</v>
      </c>
      <c r="J27" s="108">
        <f>9</f>
        <v>9</v>
      </c>
      <c r="K27" s="108">
        <f>1</f>
        <v>1</v>
      </c>
      <c r="L27" s="108">
        <f>7</f>
        <v>7</v>
      </c>
      <c r="M27" s="108">
        <f>4</f>
        <v>4</v>
      </c>
      <c r="N27" s="108"/>
      <c r="O27" s="108"/>
      <c r="P27" s="122"/>
      <c r="Q27" s="68"/>
      <c r="R27" s="68"/>
      <c r="T27" s="108"/>
      <c r="U27" s="108"/>
      <c r="V27" s="108"/>
      <c r="W27" s="108"/>
      <c r="X27" s="108"/>
      <c r="Y27" s="122"/>
    </row>
    <row r="28" spans="1:38" x14ac:dyDescent="0.25">
      <c r="A28" s="45" t="s">
        <v>831</v>
      </c>
      <c r="B28" s="66" t="s">
        <v>0</v>
      </c>
      <c r="C28" s="46">
        <v>2020</v>
      </c>
      <c r="D28" s="47">
        <f t="shared" si="1"/>
        <v>3</v>
      </c>
      <c r="E28" s="233">
        <v>3</v>
      </c>
      <c r="G28" s="120"/>
      <c r="I28" s="108">
        <f>15</f>
        <v>15</v>
      </c>
      <c r="J28" s="108">
        <f>0</f>
        <v>0</v>
      </c>
      <c r="K28" s="108">
        <f>0</f>
        <v>0</v>
      </c>
      <c r="L28" s="108">
        <f>9</f>
        <v>9</v>
      </c>
      <c r="M28" s="108">
        <f>3</f>
        <v>3</v>
      </c>
      <c r="N28" s="108"/>
      <c r="O28" s="108"/>
      <c r="P28" s="122"/>
      <c r="Q28" s="68"/>
      <c r="R28" s="68"/>
      <c r="T28" s="108"/>
      <c r="U28" s="108"/>
      <c r="V28" s="108"/>
      <c r="W28" s="108"/>
      <c r="X28" s="108"/>
      <c r="Y28" s="122"/>
    </row>
    <row r="29" spans="1:38" s="5" customFormat="1" x14ac:dyDescent="0.25">
      <c r="A29" s="182" t="s">
        <v>15</v>
      </c>
      <c r="B29" s="10"/>
      <c r="D29" s="101"/>
      <c r="E29" s="233"/>
      <c r="F29" s="219"/>
      <c r="G29" s="120"/>
      <c r="H29" s="219"/>
      <c r="I29" s="176"/>
      <c r="J29" s="176"/>
      <c r="K29" s="176"/>
      <c r="L29" s="176"/>
      <c r="M29" s="177"/>
      <c r="N29" s="178"/>
      <c r="O29" s="108">
        <f t="shared" si="2"/>
        <v>0</v>
      </c>
      <c r="P29" s="157"/>
      <c r="Q29" s="96">
        <f t="shared" si="3"/>
        <v>0</v>
      </c>
      <c r="R29" s="97">
        <f t="shared" si="4"/>
        <v>0</v>
      </c>
      <c r="S29" s="167"/>
      <c r="T29" s="179"/>
      <c r="U29" s="180"/>
      <c r="V29" s="177"/>
      <c r="W29" s="181"/>
      <c r="X29" s="111"/>
      <c r="Y29" s="157"/>
      <c r="Z29" s="96"/>
      <c r="AA29" s="97"/>
      <c r="AB29" s="167"/>
      <c r="AC29" s="169"/>
      <c r="AD29" s="59"/>
      <c r="AE29" s="73"/>
      <c r="AF29" s="79"/>
      <c r="AG29" s="81"/>
      <c r="AH29" s="93"/>
      <c r="AI29" s="33"/>
      <c r="AJ29" s="95"/>
      <c r="AK29" s="96"/>
      <c r="AL29" s="97"/>
    </row>
    <row r="30" spans="1:38" x14ac:dyDescent="0.25">
      <c r="A30" s="11" t="s">
        <v>947</v>
      </c>
      <c r="B30" s="11" t="s">
        <v>63</v>
      </c>
      <c r="C30" s="3">
        <v>2018</v>
      </c>
      <c r="D30" s="47">
        <f t="shared" si="1"/>
        <v>3</v>
      </c>
      <c r="G30" s="120"/>
      <c r="I30" s="108">
        <f>3</f>
        <v>3</v>
      </c>
      <c r="J30" s="108">
        <f>0</f>
        <v>0</v>
      </c>
      <c r="Q30" s="96">
        <f t="shared" si="3"/>
        <v>3</v>
      </c>
      <c r="R30" s="97">
        <f t="shared" si="4"/>
        <v>3</v>
      </c>
      <c r="AJ30" s="74"/>
    </row>
    <row r="31" spans="1:38" x14ac:dyDescent="0.25">
      <c r="A31" s="11" t="s">
        <v>995</v>
      </c>
      <c r="B31" s="11" t="s">
        <v>63</v>
      </c>
      <c r="C31" s="3">
        <v>2020</v>
      </c>
      <c r="D31" s="47">
        <f t="shared" si="1"/>
        <v>0</v>
      </c>
      <c r="G31" s="120"/>
      <c r="I31" s="108">
        <f>0</f>
        <v>0</v>
      </c>
      <c r="J31" s="108"/>
      <c r="Q31" s="96">
        <f t="shared" si="3"/>
        <v>0</v>
      </c>
      <c r="R31" s="97">
        <f t="shared" si="4"/>
        <v>0</v>
      </c>
      <c r="AJ31" s="74"/>
    </row>
    <row r="32" spans="1:38" x14ac:dyDescent="0.25">
      <c r="A32" s="11" t="s">
        <v>1092</v>
      </c>
      <c r="B32" s="11" t="s">
        <v>0</v>
      </c>
      <c r="C32" s="3">
        <v>2020</v>
      </c>
      <c r="D32" s="47">
        <f t="shared" si="1"/>
        <v>0</v>
      </c>
      <c r="E32" s="233">
        <v>0</v>
      </c>
      <c r="F32" s="233"/>
      <c r="G32" s="120"/>
      <c r="H32" s="233"/>
      <c r="I32" s="108"/>
      <c r="J32" s="108"/>
      <c r="Q32" s="96"/>
      <c r="R32" s="97"/>
      <c r="AJ32" s="74"/>
    </row>
    <row r="33" spans="1:25" x14ac:dyDescent="0.25">
      <c r="A33" s="11" t="s">
        <v>994</v>
      </c>
      <c r="B33" s="11" t="s">
        <v>63</v>
      </c>
      <c r="C33" s="3">
        <v>2020</v>
      </c>
      <c r="D33" s="47">
        <f t="shared" si="1"/>
        <v>0</v>
      </c>
      <c r="I33" s="108">
        <f>3</f>
        <v>3</v>
      </c>
      <c r="J33" s="108"/>
      <c r="Q33" s="68"/>
      <c r="R33" s="68"/>
    </row>
    <row r="34" spans="1:25" x14ac:dyDescent="0.25">
      <c r="A34" s="11" t="s">
        <v>938</v>
      </c>
      <c r="B34" s="11" t="s">
        <v>0</v>
      </c>
      <c r="C34" s="3">
        <v>2019</v>
      </c>
      <c r="D34" s="47">
        <f t="shared" si="1"/>
        <v>0</v>
      </c>
      <c r="E34" s="233">
        <f>0</f>
        <v>0</v>
      </c>
      <c r="G34" s="154"/>
      <c r="I34" s="108"/>
      <c r="J34" s="108">
        <f>3</f>
        <v>3</v>
      </c>
      <c r="Q34" s="68"/>
      <c r="R34" s="68"/>
    </row>
    <row r="35" spans="1:25" x14ac:dyDescent="0.25">
      <c r="A35" s="11" t="s">
        <v>939</v>
      </c>
      <c r="B35" s="11" t="s">
        <v>0</v>
      </c>
      <c r="C35" s="3">
        <v>2019</v>
      </c>
      <c r="D35" s="47">
        <f t="shared" si="1"/>
        <v>18</v>
      </c>
      <c r="E35" s="233">
        <v>18</v>
      </c>
      <c r="G35" s="154"/>
      <c r="I35" s="108"/>
      <c r="J35" s="108">
        <f>2</f>
        <v>2</v>
      </c>
      <c r="Q35" s="68"/>
      <c r="R35" s="68"/>
    </row>
    <row r="36" spans="1:25" x14ac:dyDescent="0.25">
      <c r="A36" s="45" t="s">
        <v>942</v>
      </c>
      <c r="B36" s="66" t="s">
        <v>63</v>
      </c>
      <c r="C36" s="46">
        <v>2018</v>
      </c>
      <c r="D36" s="47">
        <f t="shared" si="1"/>
        <v>0</v>
      </c>
      <c r="G36" s="120"/>
      <c r="I36" s="108">
        <f>4</f>
        <v>4</v>
      </c>
      <c r="J36" s="108">
        <f>8</f>
        <v>8</v>
      </c>
      <c r="K36" s="108"/>
      <c r="L36" s="108"/>
      <c r="M36" s="108"/>
      <c r="N36" s="108"/>
      <c r="O36" s="108"/>
      <c r="P36" s="122"/>
      <c r="Q36" s="68"/>
      <c r="R36" s="68"/>
      <c r="T36" s="108"/>
      <c r="U36" s="108"/>
      <c r="V36" s="108"/>
      <c r="W36" s="108"/>
      <c r="X36" s="108"/>
      <c r="Y36" s="122"/>
    </row>
    <row r="37" spans="1:25" x14ac:dyDescent="0.25">
      <c r="A37" s="11" t="s">
        <v>941</v>
      </c>
      <c r="B37" s="11" t="s">
        <v>63</v>
      </c>
      <c r="C37" s="3">
        <v>2020</v>
      </c>
      <c r="D37" s="47">
        <f t="shared" si="1"/>
        <v>0</v>
      </c>
      <c r="G37" s="120"/>
      <c r="I37" s="108">
        <f>6</f>
        <v>6</v>
      </c>
      <c r="J37" s="108">
        <f>0</f>
        <v>0</v>
      </c>
      <c r="Q37" s="68"/>
      <c r="R37" s="68"/>
    </row>
    <row r="38" spans="1:25" x14ac:dyDescent="0.25">
      <c r="A38" s="11" t="s">
        <v>944</v>
      </c>
      <c r="B38" s="11" t="s">
        <v>63</v>
      </c>
      <c r="C38" s="3">
        <v>2019</v>
      </c>
      <c r="D38" s="47">
        <f t="shared" si="1"/>
        <v>0</v>
      </c>
      <c r="G38" s="154"/>
      <c r="I38" s="108">
        <f>0</f>
        <v>0</v>
      </c>
      <c r="J38" s="108">
        <f>5</f>
        <v>5</v>
      </c>
      <c r="Q38" s="68"/>
      <c r="R38" s="68"/>
    </row>
    <row r="39" spans="1:25" x14ac:dyDescent="0.25">
      <c r="A39" s="11" t="s">
        <v>946</v>
      </c>
      <c r="B39" s="11" t="s">
        <v>63</v>
      </c>
      <c r="C39" s="3">
        <v>2019</v>
      </c>
      <c r="D39" s="47">
        <f t="shared" si="1"/>
        <v>0</v>
      </c>
      <c r="G39" s="120"/>
      <c r="I39" s="108">
        <f>0</f>
        <v>0</v>
      </c>
      <c r="J39" s="108">
        <f>1</f>
        <v>1</v>
      </c>
      <c r="Q39" s="68"/>
      <c r="R39" s="68"/>
    </row>
    <row r="40" spans="1:25" x14ac:dyDescent="0.25">
      <c r="A40" s="11" t="s">
        <v>940</v>
      </c>
      <c r="B40" s="11" t="s">
        <v>0</v>
      </c>
      <c r="C40" s="3">
        <v>2019</v>
      </c>
      <c r="D40" s="47">
        <f t="shared" si="1"/>
        <v>12</v>
      </c>
      <c r="E40" s="233">
        <f>12</f>
        <v>12</v>
      </c>
      <c r="G40" s="154"/>
      <c r="I40" s="108">
        <f>9</f>
        <v>9</v>
      </c>
      <c r="J40" s="108">
        <f>1</f>
        <v>1</v>
      </c>
      <c r="Q40" s="68"/>
      <c r="R40" s="68"/>
    </row>
    <row r="41" spans="1:25" x14ac:dyDescent="0.25">
      <c r="A41" s="45" t="s">
        <v>996</v>
      </c>
      <c r="B41" s="66" t="s">
        <v>63</v>
      </c>
      <c r="C41" s="46">
        <v>2018</v>
      </c>
      <c r="D41" s="47">
        <f t="shared" si="1"/>
        <v>0</v>
      </c>
      <c r="E41" s="108"/>
      <c r="F41" s="108"/>
      <c r="G41" s="122"/>
      <c r="H41" s="108"/>
      <c r="I41" s="108">
        <f>1</f>
        <v>1</v>
      </c>
      <c r="J41" s="108"/>
      <c r="K41" s="108"/>
      <c r="L41" s="108"/>
      <c r="M41" s="108"/>
      <c r="N41" s="108"/>
      <c r="O41" s="108"/>
      <c r="P41" s="122"/>
      <c r="Q41" s="68"/>
      <c r="R41" s="68"/>
      <c r="T41" s="108"/>
      <c r="U41" s="108"/>
      <c r="V41" s="108"/>
      <c r="W41" s="108"/>
      <c r="X41" s="108"/>
      <c r="Y41" s="122"/>
    </row>
    <row r="42" spans="1:25" x14ac:dyDescent="0.25">
      <c r="A42" s="11" t="s">
        <v>943</v>
      </c>
      <c r="B42" s="11" t="s">
        <v>63</v>
      </c>
      <c r="C42" s="3">
        <v>2018</v>
      </c>
      <c r="D42" s="47">
        <f t="shared" si="1"/>
        <v>0</v>
      </c>
      <c r="G42" s="120"/>
      <c r="I42" s="108">
        <f>2</f>
        <v>2</v>
      </c>
      <c r="J42" s="108">
        <f>7</f>
        <v>7</v>
      </c>
      <c r="Q42" s="68"/>
      <c r="R42" s="68"/>
    </row>
    <row r="43" spans="1:25" x14ac:dyDescent="0.25">
      <c r="A43" s="11" t="s">
        <v>1093</v>
      </c>
      <c r="B43" s="11" t="s">
        <v>36</v>
      </c>
      <c r="C43" s="3">
        <v>2018</v>
      </c>
      <c r="D43" s="47">
        <f>R43+E43+F43+G43</f>
        <v>22</v>
      </c>
      <c r="E43" s="233">
        <v>15</v>
      </c>
      <c r="G43" s="154">
        <f>7</f>
        <v>7</v>
      </c>
      <c r="Q43" s="68"/>
      <c r="R43" s="68"/>
    </row>
    <row r="44" spans="1:25" x14ac:dyDescent="0.25">
      <c r="A44" s="11" t="s">
        <v>1094</v>
      </c>
      <c r="B44" s="11" t="s">
        <v>36</v>
      </c>
      <c r="C44" s="3">
        <v>2018</v>
      </c>
      <c r="D44" s="47">
        <f t="shared" si="1"/>
        <v>10</v>
      </c>
      <c r="E44" s="233">
        <f>9+1</f>
        <v>10</v>
      </c>
      <c r="G44" s="154"/>
      <c r="Q44" s="68"/>
      <c r="R44" s="68"/>
    </row>
    <row r="45" spans="1:25" x14ac:dyDescent="0.25">
      <c r="A45" s="11" t="s">
        <v>1096</v>
      </c>
      <c r="B45" s="11" t="s">
        <v>36</v>
      </c>
      <c r="C45" s="3">
        <v>2019</v>
      </c>
      <c r="D45" s="47">
        <f t="shared" si="1"/>
        <v>6</v>
      </c>
      <c r="E45" s="156">
        <v>6</v>
      </c>
      <c r="F45" s="156"/>
      <c r="G45" s="122"/>
      <c r="H45" s="156"/>
      <c r="Q45" s="68"/>
      <c r="R45" s="68"/>
    </row>
    <row r="46" spans="1:25" x14ac:dyDescent="0.25">
      <c r="A46" s="11" t="s">
        <v>1095</v>
      </c>
      <c r="B46" s="11" t="s">
        <v>36</v>
      </c>
      <c r="C46" s="3">
        <v>2018</v>
      </c>
      <c r="D46" s="47">
        <f t="shared" si="1"/>
        <v>1</v>
      </c>
      <c r="E46" s="156">
        <f>1</f>
        <v>1</v>
      </c>
      <c r="F46" s="156"/>
      <c r="G46" s="122"/>
      <c r="H46" s="156"/>
      <c r="Q46" s="68"/>
      <c r="R46" s="68"/>
    </row>
    <row r="47" spans="1:25" x14ac:dyDescent="0.25">
      <c r="G47" s="120"/>
      <c r="Q47" s="68"/>
      <c r="R47" s="68"/>
    </row>
    <row r="48" spans="1:25" x14ac:dyDescent="0.25">
      <c r="G48" s="154"/>
      <c r="Q48" s="68"/>
      <c r="R48" s="68"/>
    </row>
    <row r="49" spans="5:18" x14ac:dyDescent="0.25">
      <c r="G49" s="154"/>
      <c r="Q49" s="68"/>
      <c r="R49" s="68"/>
    </row>
    <row r="50" spans="5:18" x14ac:dyDescent="0.25">
      <c r="E50" s="156"/>
      <c r="F50" s="156"/>
      <c r="G50" s="122"/>
      <c r="H50" s="156"/>
      <c r="Q50" s="68"/>
      <c r="R50" s="68"/>
    </row>
    <row r="51" spans="5:18" x14ac:dyDescent="0.25">
      <c r="E51" s="108"/>
      <c r="F51" s="108"/>
      <c r="G51" s="122"/>
      <c r="H51" s="108"/>
      <c r="Q51" s="68"/>
      <c r="R51" s="68"/>
    </row>
    <row r="52" spans="5:18" x14ac:dyDescent="0.25">
      <c r="G52" s="154"/>
      <c r="Q52" s="68"/>
      <c r="R52" s="68"/>
    </row>
    <row r="53" spans="5:18" x14ac:dyDescent="0.25">
      <c r="E53" s="108"/>
      <c r="F53" s="108"/>
      <c r="G53" s="122"/>
      <c r="H53" s="108"/>
      <c r="Q53" s="68"/>
      <c r="R53" s="68"/>
    </row>
    <row r="54" spans="5:18" x14ac:dyDescent="0.25">
      <c r="G54" s="120"/>
      <c r="Q54" s="68"/>
      <c r="R54" s="68"/>
    </row>
    <row r="55" spans="5:18" x14ac:dyDescent="0.25">
      <c r="G55" s="120"/>
      <c r="Q55" s="68"/>
      <c r="R55" s="68"/>
    </row>
    <row r="56" spans="5:18" x14ac:dyDescent="0.25">
      <c r="G56" s="120"/>
      <c r="Q56" s="68"/>
      <c r="R56" s="68"/>
    </row>
    <row r="57" spans="5:18" x14ac:dyDescent="0.25">
      <c r="G57" s="154"/>
      <c r="Q57" s="68"/>
      <c r="R57" s="68"/>
    </row>
    <row r="58" spans="5:18" x14ac:dyDescent="0.25">
      <c r="G58" s="154"/>
      <c r="Q58" s="68"/>
      <c r="R58" s="68"/>
    </row>
    <row r="59" spans="5:18" x14ac:dyDescent="0.25">
      <c r="G59" s="120"/>
      <c r="Q59" s="68"/>
      <c r="R59" s="68"/>
    </row>
    <row r="60" spans="5:18" x14ac:dyDescent="0.25">
      <c r="G60" s="154"/>
      <c r="Q60" s="68"/>
      <c r="R60" s="68"/>
    </row>
    <row r="61" spans="5:18" x14ac:dyDescent="0.25">
      <c r="G61" s="120"/>
      <c r="Q61" s="68"/>
      <c r="R61" s="68"/>
    </row>
    <row r="62" spans="5:18" x14ac:dyDescent="0.25">
      <c r="E62" s="108"/>
      <c r="F62" s="108"/>
      <c r="G62" s="122"/>
      <c r="H62" s="108"/>
      <c r="Q62" s="68"/>
      <c r="R62" s="68"/>
    </row>
    <row r="63" spans="5:18" x14ac:dyDescent="0.25">
      <c r="E63" s="156"/>
      <c r="F63" s="156"/>
      <c r="G63" s="122"/>
      <c r="H63" s="156"/>
      <c r="Q63" s="68"/>
      <c r="R63" s="68"/>
    </row>
    <row r="64" spans="5:18" x14ac:dyDescent="0.25">
      <c r="G64" s="120"/>
      <c r="Q64" s="68"/>
      <c r="R64" s="68"/>
    </row>
    <row r="65" spans="5:18" x14ac:dyDescent="0.25">
      <c r="G65" s="120"/>
      <c r="Q65" s="68"/>
      <c r="R65" s="68"/>
    </row>
    <row r="66" spans="5:18" x14ac:dyDescent="0.25">
      <c r="E66" s="156"/>
      <c r="F66" s="156"/>
      <c r="G66" s="154"/>
      <c r="H66" s="156"/>
      <c r="Q66" s="68"/>
      <c r="R66" s="68"/>
    </row>
    <row r="67" spans="5:18" x14ac:dyDescent="0.25">
      <c r="E67" s="156"/>
      <c r="F67" s="156"/>
      <c r="G67" s="154"/>
      <c r="H67" s="156"/>
      <c r="Q67" s="68"/>
      <c r="R67" s="68"/>
    </row>
    <row r="68" spans="5:18" x14ac:dyDescent="0.25">
      <c r="G68" s="120"/>
      <c r="Q68" s="68"/>
      <c r="R68" s="68"/>
    </row>
    <row r="69" spans="5:18" x14ac:dyDescent="0.25">
      <c r="G69" s="120"/>
      <c r="Q69" s="68"/>
      <c r="R69" s="68"/>
    </row>
    <row r="70" spans="5:18" x14ac:dyDescent="0.25">
      <c r="E70" s="156"/>
      <c r="F70" s="156"/>
      <c r="G70" s="122"/>
      <c r="H70" s="156"/>
      <c r="Q70" s="68"/>
      <c r="R70" s="68"/>
    </row>
    <row r="71" spans="5:18" x14ac:dyDescent="0.25">
      <c r="G71" s="120"/>
      <c r="Q71" s="68"/>
      <c r="R71" s="68"/>
    </row>
    <row r="72" spans="5:18" x14ac:dyDescent="0.25">
      <c r="G72" s="120"/>
      <c r="Q72" s="68"/>
      <c r="R72" s="68"/>
    </row>
    <row r="73" spans="5:18" x14ac:dyDescent="0.25">
      <c r="E73" s="156"/>
      <c r="F73" s="156"/>
      <c r="G73" s="154"/>
      <c r="H73" s="156"/>
      <c r="Q73" s="68"/>
      <c r="R73" s="68"/>
    </row>
    <row r="74" spans="5:18" x14ac:dyDescent="0.25">
      <c r="G74" s="120"/>
      <c r="Q74" s="68"/>
      <c r="R74" s="68"/>
    </row>
    <row r="75" spans="5:18" x14ac:dyDescent="0.25">
      <c r="E75" s="156"/>
      <c r="F75" s="156"/>
      <c r="G75" s="154"/>
      <c r="H75" s="156"/>
      <c r="Q75" s="68"/>
      <c r="R75" s="68"/>
    </row>
    <row r="76" spans="5:18" x14ac:dyDescent="0.25">
      <c r="E76" s="108"/>
      <c r="F76" s="108"/>
      <c r="G76" s="122"/>
      <c r="H76" s="108"/>
      <c r="Q76" s="68"/>
      <c r="R76" s="68"/>
    </row>
    <row r="77" spans="5:18" x14ac:dyDescent="0.25">
      <c r="G77" s="154"/>
      <c r="Q77" s="68"/>
      <c r="R77" s="68"/>
    </row>
    <row r="78" spans="5:18" x14ac:dyDescent="0.25">
      <c r="E78" s="156"/>
      <c r="F78" s="156"/>
      <c r="G78" s="122"/>
      <c r="H78" s="156"/>
      <c r="Q78" s="68"/>
      <c r="R78" s="68"/>
    </row>
    <row r="79" spans="5:18" x14ac:dyDescent="0.25">
      <c r="G79" s="120"/>
      <c r="Q79" s="68"/>
      <c r="R79" s="68"/>
    </row>
    <row r="80" spans="5:18" x14ac:dyDescent="0.25">
      <c r="G80" s="120"/>
      <c r="Q80" s="68"/>
      <c r="R80" s="68"/>
    </row>
    <row r="81" spans="5:18" x14ac:dyDescent="0.25">
      <c r="E81" s="156"/>
      <c r="F81" s="156"/>
      <c r="G81" s="154"/>
      <c r="H81" s="156"/>
      <c r="Q81" s="68"/>
      <c r="R81" s="68"/>
    </row>
    <row r="82" spans="5:18" x14ac:dyDescent="0.25">
      <c r="E82" s="156"/>
      <c r="F82" s="156"/>
      <c r="G82" s="154"/>
      <c r="H82" s="156"/>
      <c r="Q82" s="68"/>
      <c r="R82" s="68"/>
    </row>
    <row r="83" spans="5:18" x14ac:dyDescent="0.25">
      <c r="E83" s="108"/>
      <c r="F83" s="108"/>
      <c r="G83" s="122"/>
      <c r="H83" s="108"/>
      <c r="Q83" s="68"/>
      <c r="R83" s="68"/>
    </row>
    <row r="84" spans="5:18" x14ac:dyDescent="0.25">
      <c r="E84" s="156"/>
      <c r="F84" s="156"/>
      <c r="G84" s="154"/>
      <c r="H84" s="156"/>
      <c r="Q84" s="68"/>
      <c r="R84" s="68"/>
    </row>
    <row r="85" spans="5:18" x14ac:dyDescent="0.25">
      <c r="E85" s="156"/>
      <c r="F85" s="156"/>
      <c r="G85" s="154"/>
      <c r="H85" s="156"/>
      <c r="Q85" s="68"/>
      <c r="R85" s="68"/>
    </row>
    <row r="86" spans="5:18" x14ac:dyDescent="0.25">
      <c r="G86" s="120"/>
      <c r="Q86" s="68"/>
      <c r="R86" s="68"/>
    </row>
    <row r="87" spans="5:18" x14ac:dyDescent="0.25">
      <c r="G87" s="120"/>
      <c r="Q87" s="68"/>
      <c r="R87" s="68"/>
    </row>
    <row r="88" spans="5:18" x14ac:dyDescent="0.25">
      <c r="G88" s="154"/>
      <c r="Q88" s="68"/>
      <c r="R88" s="68"/>
    </row>
    <row r="89" spans="5:18" x14ac:dyDescent="0.25">
      <c r="G89" s="154"/>
      <c r="Q89" s="68"/>
      <c r="R89" s="68"/>
    </row>
    <row r="90" spans="5:18" x14ac:dyDescent="0.25">
      <c r="G90" s="120"/>
      <c r="Q90" s="68"/>
      <c r="R90" s="68"/>
    </row>
    <row r="91" spans="5:18" x14ac:dyDescent="0.25">
      <c r="E91" s="156"/>
      <c r="F91" s="156"/>
      <c r="G91" s="154"/>
      <c r="H91" s="156"/>
      <c r="Q91" s="68"/>
      <c r="R91" s="68"/>
    </row>
    <row r="92" spans="5:18" x14ac:dyDescent="0.25">
      <c r="G92" s="120"/>
      <c r="Q92" s="68"/>
      <c r="R92" s="68"/>
    </row>
    <row r="93" spans="5:18" x14ac:dyDescent="0.25">
      <c r="G93" s="120"/>
      <c r="Q93" s="68"/>
      <c r="R93" s="68"/>
    </row>
    <row r="94" spans="5:18" x14ac:dyDescent="0.25">
      <c r="G94" s="120"/>
      <c r="Q94" s="68"/>
      <c r="R94" s="68"/>
    </row>
    <row r="95" spans="5:18" x14ac:dyDescent="0.25">
      <c r="G95" s="154"/>
      <c r="Q95" s="68"/>
      <c r="R95" s="68"/>
    </row>
    <row r="96" spans="5:18" x14ac:dyDescent="0.25">
      <c r="G96" s="154"/>
      <c r="Q96" s="68"/>
      <c r="R96" s="68"/>
    </row>
    <row r="97" spans="5:18" x14ac:dyDescent="0.25">
      <c r="G97" s="154"/>
      <c r="Q97" s="68"/>
      <c r="R97" s="68"/>
    </row>
    <row r="98" spans="5:18" x14ac:dyDescent="0.25">
      <c r="E98" s="108"/>
      <c r="F98" s="108"/>
      <c r="G98" s="122"/>
      <c r="H98" s="108"/>
      <c r="Q98" s="68"/>
      <c r="R98" s="68"/>
    </row>
    <row r="99" spans="5:18" x14ac:dyDescent="0.25">
      <c r="E99" s="156"/>
      <c r="F99" s="156"/>
      <c r="G99" s="122"/>
      <c r="H99" s="156"/>
      <c r="Q99" s="68"/>
      <c r="R99" s="68"/>
    </row>
    <row r="100" spans="5:18" x14ac:dyDescent="0.25">
      <c r="G100" s="120"/>
      <c r="Q100" s="68"/>
      <c r="R100" s="68"/>
    </row>
    <row r="101" spans="5:18" x14ac:dyDescent="0.25">
      <c r="G101" s="154"/>
      <c r="Q101" s="68"/>
      <c r="R101" s="68"/>
    </row>
    <row r="102" spans="5:18" x14ac:dyDescent="0.25">
      <c r="G102" s="154"/>
      <c r="Q102" s="68"/>
      <c r="R102" s="68"/>
    </row>
    <row r="103" spans="5:18" x14ac:dyDescent="0.25">
      <c r="G103" s="120"/>
      <c r="Q103" s="68"/>
      <c r="R103" s="68"/>
    </row>
    <row r="104" spans="5:18" x14ac:dyDescent="0.25">
      <c r="E104" s="156"/>
      <c r="F104" s="156"/>
      <c r="G104" s="122"/>
      <c r="H104" s="156"/>
      <c r="Q104" s="68"/>
      <c r="R104" s="68"/>
    </row>
    <row r="105" spans="5:18" x14ac:dyDescent="0.25">
      <c r="E105" s="156"/>
      <c r="F105" s="156"/>
      <c r="G105" s="122"/>
      <c r="H105" s="156"/>
      <c r="Q105" s="68"/>
      <c r="R105" s="68"/>
    </row>
    <row r="106" spans="5:18" x14ac:dyDescent="0.25">
      <c r="G106" s="154"/>
      <c r="Q106" s="68"/>
      <c r="R106" s="68"/>
    </row>
    <row r="107" spans="5:18" x14ac:dyDescent="0.25">
      <c r="G107" s="120"/>
      <c r="Q107" s="68"/>
      <c r="R107" s="68"/>
    </row>
    <row r="108" spans="5:18" x14ac:dyDescent="0.25">
      <c r="G108" s="120"/>
      <c r="Q108" s="68"/>
      <c r="R108" s="68"/>
    </row>
    <row r="109" spans="5:18" x14ac:dyDescent="0.25">
      <c r="G109" s="154"/>
      <c r="Q109" s="68"/>
      <c r="R109" s="68"/>
    </row>
    <row r="110" spans="5:18" x14ac:dyDescent="0.25">
      <c r="G110" s="120"/>
      <c r="Q110" s="68"/>
      <c r="R110" s="68"/>
    </row>
    <row r="111" spans="5:18" x14ac:dyDescent="0.25">
      <c r="E111" s="156"/>
      <c r="F111" s="156"/>
      <c r="G111" s="122"/>
      <c r="H111" s="156"/>
      <c r="Q111" s="68"/>
      <c r="R111" s="68"/>
    </row>
    <row r="112" spans="5:18" x14ac:dyDescent="0.25">
      <c r="E112" s="108"/>
      <c r="F112" s="108"/>
      <c r="G112" s="122"/>
      <c r="H112" s="108"/>
      <c r="Q112" s="68"/>
      <c r="R112" s="68"/>
    </row>
    <row r="113" spans="5:18" x14ac:dyDescent="0.25">
      <c r="G113" s="154"/>
      <c r="Q113" s="68"/>
      <c r="R113" s="68"/>
    </row>
    <row r="114" spans="5:18" x14ac:dyDescent="0.25">
      <c r="G114" s="154"/>
      <c r="Q114" s="68"/>
      <c r="R114" s="68"/>
    </row>
    <row r="115" spans="5:18" x14ac:dyDescent="0.25">
      <c r="E115" s="156"/>
      <c r="F115" s="156"/>
      <c r="G115" s="122"/>
      <c r="H115" s="156"/>
      <c r="Q115" s="68"/>
      <c r="R115" s="68"/>
    </row>
    <row r="116" spans="5:18" x14ac:dyDescent="0.25">
      <c r="G116" s="154"/>
      <c r="Q116" s="68"/>
      <c r="R116" s="68"/>
    </row>
    <row r="117" spans="5:18" x14ac:dyDescent="0.25">
      <c r="G117" s="120"/>
      <c r="Q117" s="68"/>
      <c r="R117" s="68"/>
    </row>
    <row r="118" spans="5:18" x14ac:dyDescent="0.25">
      <c r="G118" s="120"/>
      <c r="Q118" s="68"/>
      <c r="R118" s="68"/>
    </row>
    <row r="119" spans="5:18" x14ac:dyDescent="0.25">
      <c r="G119" s="154"/>
      <c r="Q119" s="68"/>
      <c r="R119" s="68"/>
    </row>
    <row r="120" spans="5:18" x14ac:dyDescent="0.25">
      <c r="G120" s="120"/>
      <c r="Q120" s="68"/>
      <c r="R120" s="68"/>
    </row>
    <row r="121" spans="5:18" x14ac:dyDescent="0.25">
      <c r="G121" s="154"/>
      <c r="Q121" s="68"/>
      <c r="R121" s="68"/>
    </row>
    <row r="122" spans="5:18" x14ac:dyDescent="0.25">
      <c r="G122" s="120"/>
      <c r="Q122" s="68"/>
      <c r="R122" s="68"/>
    </row>
    <row r="123" spans="5:18" x14ac:dyDescent="0.25">
      <c r="G123" s="154"/>
      <c r="Q123" s="68"/>
      <c r="R123" s="68"/>
    </row>
    <row r="124" spans="5:18" x14ac:dyDescent="0.25">
      <c r="G124" s="154"/>
      <c r="Q124" s="68"/>
      <c r="R124" s="68"/>
    </row>
    <row r="125" spans="5:18" x14ac:dyDescent="0.25">
      <c r="E125" s="108"/>
      <c r="F125" s="108"/>
      <c r="G125" s="122"/>
      <c r="H125" s="108"/>
      <c r="Q125" s="68"/>
      <c r="R125" s="68"/>
    </row>
    <row r="126" spans="5:18" x14ac:dyDescent="0.25">
      <c r="G126" s="154"/>
      <c r="Q126" s="68"/>
      <c r="R126" s="68"/>
    </row>
    <row r="127" spans="5:18" x14ac:dyDescent="0.25">
      <c r="G127" s="120"/>
      <c r="Q127" s="68"/>
      <c r="R127" s="68"/>
    </row>
    <row r="128" spans="5:18" x14ac:dyDescent="0.25">
      <c r="G128" s="154"/>
      <c r="Q128" s="68"/>
      <c r="R128" s="68"/>
    </row>
    <row r="129" spans="7:18" x14ac:dyDescent="0.25">
      <c r="G129" s="154"/>
      <c r="Q129" s="68"/>
      <c r="R129" s="68"/>
    </row>
    <row r="130" spans="7:18" x14ac:dyDescent="0.25">
      <c r="G130" s="120"/>
      <c r="Q130" s="68"/>
      <c r="R130" s="68"/>
    </row>
    <row r="131" spans="7:18" x14ac:dyDescent="0.25">
      <c r="G131" s="154"/>
      <c r="Q131" s="68"/>
      <c r="R131" s="68"/>
    </row>
    <row r="132" spans="7:18" x14ac:dyDescent="0.25">
      <c r="G132" s="154"/>
      <c r="Q132" s="68"/>
      <c r="R132" s="68"/>
    </row>
    <row r="133" spans="7:18" x14ac:dyDescent="0.25">
      <c r="G133" s="154"/>
      <c r="Q133" s="68"/>
      <c r="R133" s="68"/>
    </row>
    <row r="134" spans="7:18" x14ac:dyDescent="0.25">
      <c r="G134" s="120"/>
      <c r="Q134" s="68"/>
      <c r="R134" s="68"/>
    </row>
    <row r="135" spans="7:18" x14ac:dyDescent="0.25">
      <c r="G135" s="120"/>
      <c r="Q135" s="68"/>
      <c r="R135" s="68"/>
    </row>
    <row r="136" spans="7:18" x14ac:dyDescent="0.25">
      <c r="G136" s="120"/>
      <c r="Q136" s="68"/>
      <c r="R136" s="68"/>
    </row>
    <row r="137" spans="7:18" x14ac:dyDescent="0.25">
      <c r="G137" s="154"/>
      <c r="Q137" s="68"/>
      <c r="R137" s="68"/>
    </row>
    <row r="138" spans="7:18" x14ac:dyDescent="0.25">
      <c r="G138" s="154"/>
      <c r="Q138" s="68"/>
      <c r="R138" s="68"/>
    </row>
    <row r="139" spans="7:18" x14ac:dyDescent="0.25">
      <c r="G139" s="120"/>
      <c r="Q139" s="68"/>
      <c r="R139" s="68"/>
    </row>
    <row r="140" spans="7:18" x14ac:dyDescent="0.25">
      <c r="G140" s="154"/>
      <c r="Q140" s="68"/>
      <c r="R140" s="68"/>
    </row>
    <row r="141" spans="7:18" x14ac:dyDescent="0.25">
      <c r="G141" s="154"/>
      <c r="Q141" s="68"/>
      <c r="R141" s="68"/>
    </row>
    <row r="142" spans="7:18" x14ac:dyDescent="0.25">
      <c r="G142" s="154"/>
      <c r="Q142" s="68"/>
      <c r="R142" s="68"/>
    </row>
    <row r="143" spans="7:18" x14ac:dyDescent="0.25">
      <c r="G143" s="120"/>
      <c r="Q143" s="68"/>
      <c r="R143" s="68"/>
    </row>
    <row r="144" spans="7:18" x14ac:dyDescent="0.25">
      <c r="G144" s="120"/>
      <c r="Q144" s="68"/>
      <c r="R144" s="68"/>
    </row>
    <row r="145" spans="5:18" x14ac:dyDescent="0.25">
      <c r="G145" s="154"/>
      <c r="Q145" s="68"/>
      <c r="R145" s="68"/>
    </row>
    <row r="146" spans="5:18" x14ac:dyDescent="0.25">
      <c r="G146" s="120"/>
      <c r="Q146" s="68"/>
      <c r="R146" s="68"/>
    </row>
    <row r="147" spans="5:18" x14ac:dyDescent="0.25">
      <c r="G147" s="154"/>
      <c r="Q147" s="68"/>
      <c r="R147" s="68"/>
    </row>
    <row r="148" spans="5:18" x14ac:dyDescent="0.25">
      <c r="G148" s="120"/>
      <c r="Q148" s="68"/>
      <c r="R148" s="68"/>
    </row>
    <row r="149" spans="5:18" x14ac:dyDescent="0.25">
      <c r="E149" s="156"/>
      <c r="F149" s="156"/>
      <c r="G149" s="122"/>
      <c r="H149" s="156"/>
      <c r="Q149" s="68"/>
      <c r="R149" s="68"/>
    </row>
    <row r="150" spans="5:18" x14ac:dyDescent="0.25">
      <c r="G150" s="120"/>
      <c r="Q150" s="68"/>
      <c r="R150" s="68"/>
    </row>
    <row r="151" spans="5:18" x14ac:dyDescent="0.25">
      <c r="G151" s="120"/>
      <c r="Q151" s="68"/>
      <c r="R151" s="68"/>
    </row>
    <row r="152" spans="5:18" x14ac:dyDescent="0.25">
      <c r="G152" s="154"/>
      <c r="Q152" s="68"/>
      <c r="R152" s="68"/>
    </row>
    <row r="153" spans="5:18" x14ac:dyDescent="0.25">
      <c r="E153" s="156"/>
      <c r="F153" s="156"/>
      <c r="G153" s="122"/>
      <c r="H153" s="156"/>
      <c r="Q153" s="68"/>
      <c r="R153" s="68"/>
    </row>
    <row r="154" spans="5:18" x14ac:dyDescent="0.25">
      <c r="G154" s="120"/>
      <c r="Q154" s="68"/>
      <c r="R154" s="68"/>
    </row>
    <row r="155" spans="5:18" x14ac:dyDescent="0.25">
      <c r="G155" s="154"/>
      <c r="Q155" s="68"/>
      <c r="R155" s="68"/>
    </row>
    <row r="156" spans="5:18" x14ac:dyDescent="0.25">
      <c r="G156" s="120"/>
      <c r="Q156" s="68"/>
      <c r="R156" s="68"/>
    </row>
    <row r="157" spans="5:18" x14ac:dyDescent="0.25">
      <c r="G157" s="120"/>
      <c r="Q157" s="68"/>
      <c r="R157" s="68"/>
    </row>
    <row r="158" spans="5:18" x14ac:dyDescent="0.25">
      <c r="G158" s="120"/>
      <c r="Q158" s="68"/>
      <c r="R158" s="68"/>
    </row>
    <row r="159" spans="5:18" x14ac:dyDescent="0.25">
      <c r="G159" s="120"/>
      <c r="Q159" s="68"/>
      <c r="R159" s="68"/>
    </row>
    <row r="160" spans="5:18" x14ac:dyDescent="0.25">
      <c r="G160" s="120"/>
      <c r="Q160" s="68"/>
      <c r="R160" s="68"/>
    </row>
    <row r="161" spans="5:18" x14ac:dyDescent="0.25">
      <c r="E161" s="156"/>
      <c r="F161" s="156"/>
      <c r="G161" s="122"/>
      <c r="H161" s="156"/>
      <c r="Q161" s="68"/>
      <c r="R161" s="68"/>
    </row>
    <row r="162" spans="5:18" x14ac:dyDescent="0.25">
      <c r="G162" s="154"/>
      <c r="Q162" s="68"/>
      <c r="R162" s="68"/>
    </row>
    <row r="163" spans="5:18" x14ac:dyDescent="0.25">
      <c r="G163" s="120"/>
      <c r="Q163" s="68"/>
      <c r="R163" s="68"/>
    </row>
    <row r="164" spans="5:18" x14ac:dyDescent="0.25">
      <c r="G164" s="154"/>
      <c r="Q164" s="68"/>
      <c r="R164" s="68"/>
    </row>
    <row r="165" spans="5:18" x14ac:dyDescent="0.25">
      <c r="G165" s="154"/>
      <c r="Q165" s="68"/>
      <c r="R165" s="68"/>
    </row>
    <row r="166" spans="5:18" x14ac:dyDescent="0.25">
      <c r="G166" s="154"/>
      <c r="Q166" s="68"/>
      <c r="R166" s="68"/>
    </row>
    <row r="167" spans="5:18" x14ac:dyDescent="0.25">
      <c r="G167" s="154"/>
      <c r="Q167" s="68"/>
      <c r="R167" s="68"/>
    </row>
    <row r="168" spans="5:18" x14ac:dyDescent="0.25">
      <c r="G168" s="154"/>
      <c r="Q168" s="68"/>
      <c r="R168" s="68"/>
    </row>
    <row r="169" spans="5:18" x14ac:dyDescent="0.25">
      <c r="G169" s="120"/>
      <c r="Q169" s="68"/>
      <c r="R169" s="68"/>
    </row>
    <row r="170" spans="5:18" x14ac:dyDescent="0.25">
      <c r="G170" s="120"/>
      <c r="Q170" s="68"/>
      <c r="R170" s="68"/>
    </row>
    <row r="171" spans="5:18" x14ac:dyDescent="0.25">
      <c r="G171" s="154"/>
      <c r="Q171" s="68"/>
      <c r="R171" s="68"/>
    </row>
    <row r="172" spans="5:18" x14ac:dyDescent="0.25">
      <c r="E172" s="156"/>
      <c r="F172" s="156"/>
      <c r="G172" s="154"/>
      <c r="H172" s="156"/>
      <c r="Q172" s="68"/>
      <c r="R172" s="68"/>
    </row>
    <row r="173" spans="5:18" x14ac:dyDescent="0.25">
      <c r="G173" s="120"/>
      <c r="Q173" s="68"/>
      <c r="R173" s="68"/>
    </row>
    <row r="174" spans="5:18" x14ac:dyDescent="0.25">
      <c r="G174" s="154"/>
      <c r="Q174" s="68"/>
      <c r="R174" s="68"/>
    </row>
    <row r="175" spans="5:18" x14ac:dyDescent="0.25">
      <c r="G175" s="120"/>
      <c r="Q175" s="68"/>
      <c r="R175" s="68"/>
    </row>
    <row r="176" spans="5:18" x14ac:dyDescent="0.25">
      <c r="G176" s="154"/>
      <c r="Q176" s="68"/>
      <c r="R176" s="68"/>
    </row>
    <row r="177" spans="5:18" x14ac:dyDescent="0.25">
      <c r="G177" s="154"/>
      <c r="Q177" s="68"/>
      <c r="R177" s="68"/>
    </row>
    <row r="178" spans="5:18" x14ac:dyDescent="0.25">
      <c r="G178" s="154"/>
      <c r="Q178" s="68"/>
      <c r="R178" s="68"/>
    </row>
    <row r="179" spans="5:18" x14ac:dyDescent="0.25">
      <c r="G179" s="120"/>
      <c r="Q179" s="68"/>
      <c r="R179" s="68"/>
    </row>
    <row r="180" spans="5:18" x14ac:dyDescent="0.25">
      <c r="G180" s="154"/>
      <c r="Q180" s="68"/>
      <c r="R180" s="68"/>
    </row>
    <row r="181" spans="5:18" x14ac:dyDescent="0.25">
      <c r="G181" s="154"/>
      <c r="Q181" s="68"/>
      <c r="R181" s="68"/>
    </row>
    <row r="182" spans="5:18" x14ac:dyDescent="0.25">
      <c r="E182" s="108"/>
      <c r="F182" s="108"/>
      <c r="G182" s="122"/>
      <c r="H182" s="108"/>
      <c r="Q182" s="68"/>
      <c r="R182" s="68"/>
    </row>
    <row r="183" spans="5:18" x14ac:dyDescent="0.25">
      <c r="G183" s="154"/>
      <c r="Q183" s="68"/>
      <c r="R183" s="68"/>
    </row>
    <row r="184" spans="5:18" x14ac:dyDescent="0.25">
      <c r="G184" s="154"/>
      <c r="Q184" s="68"/>
      <c r="R184" s="68"/>
    </row>
    <row r="185" spans="5:18" x14ac:dyDescent="0.25">
      <c r="E185" s="108"/>
      <c r="F185" s="108"/>
      <c r="G185" s="122"/>
      <c r="H185" s="108"/>
      <c r="Q185" s="68"/>
      <c r="R185" s="68"/>
    </row>
    <row r="186" spans="5:18" x14ac:dyDescent="0.25">
      <c r="G186" s="120"/>
      <c r="Q186" s="68"/>
      <c r="R186" s="68"/>
    </row>
    <row r="187" spans="5:18" x14ac:dyDescent="0.25">
      <c r="G187" s="154"/>
      <c r="Q187" s="68"/>
      <c r="R187" s="68"/>
    </row>
    <row r="188" spans="5:18" x14ac:dyDescent="0.25">
      <c r="G188" s="154"/>
      <c r="Q188" s="68"/>
      <c r="R188" s="68"/>
    </row>
    <row r="189" spans="5:18" x14ac:dyDescent="0.25">
      <c r="G189" s="120"/>
      <c r="Q189" s="68"/>
      <c r="R189" s="68"/>
    </row>
    <row r="190" spans="5:18" x14ac:dyDescent="0.25">
      <c r="G190" s="120"/>
      <c r="Q190" s="68"/>
      <c r="R190" s="68"/>
    </row>
    <row r="191" spans="5:18" x14ac:dyDescent="0.25">
      <c r="E191" s="156"/>
      <c r="F191" s="156"/>
      <c r="G191" s="122"/>
      <c r="H191" s="156"/>
      <c r="Q191" s="68"/>
      <c r="R191" s="68"/>
    </row>
    <row r="192" spans="5:18" x14ac:dyDescent="0.25">
      <c r="G192" s="154"/>
      <c r="Q192" s="68"/>
      <c r="R192" s="68"/>
    </row>
    <row r="193" spans="5:18" x14ac:dyDescent="0.25">
      <c r="G193" s="154"/>
      <c r="Q193" s="68"/>
      <c r="R193" s="68"/>
    </row>
    <row r="194" spans="5:18" x14ac:dyDescent="0.25">
      <c r="G194" s="154"/>
      <c r="Q194" s="68"/>
      <c r="R194" s="68"/>
    </row>
    <row r="195" spans="5:18" x14ac:dyDescent="0.25">
      <c r="G195" s="154"/>
      <c r="Q195" s="68"/>
      <c r="R195" s="68"/>
    </row>
    <row r="196" spans="5:18" x14ac:dyDescent="0.25">
      <c r="G196" s="120"/>
      <c r="Q196" s="68"/>
      <c r="R196" s="68"/>
    </row>
    <row r="197" spans="5:18" x14ac:dyDescent="0.25">
      <c r="G197" s="154"/>
      <c r="Q197" s="68"/>
      <c r="R197" s="68"/>
    </row>
    <row r="198" spans="5:18" x14ac:dyDescent="0.25">
      <c r="G198" s="120"/>
      <c r="Q198" s="68"/>
      <c r="R198" s="68"/>
    </row>
    <row r="199" spans="5:18" x14ac:dyDescent="0.25">
      <c r="E199" s="156"/>
      <c r="F199" s="156"/>
      <c r="G199" s="154"/>
      <c r="H199" s="156"/>
      <c r="Q199" s="68"/>
      <c r="R199" s="68"/>
    </row>
    <row r="200" spans="5:18" x14ac:dyDescent="0.25">
      <c r="G200" s="154"/>
      <c r="Q200" s="68"/>
      <c r="R200" s="68"/>
    </row>
    <row r="201" spans="5:18" x14ac:dyDescent="0.25">
      <c r="G201" s="120"/>
      <c r="Q201" s="68"/>
      <c r="R201" s="68"/>
    </row>
    <row r="202" spans="5:18" x14ac:dyDescent="0.25">
      <c r="G202" s="120"/>
      <c r="Q202" s="68"/>
      <c r="R202" s="68"/>
    </row>
    <row r="203" spans="5:18" x14ac:dyDescent="0.25">
      <c r="E203" s="156"/>
      <c r="F203" s="156"/>
      <c r="G203" s="122"/>
      <c r="H203" s="156"/>
      <c r="Q203" s="68"/>
      <c r="R203" s="68"/>
    </row>
    <row r="204" spans="5:18" x14ac:dyDescent="0.25">
      <c r="G204" s="154"/>
      <c r="Q204" s="68"/>
      <c r="R204" s="68"/>
    </row>
    <row r="205" spans="5:18" x14ac:dyDescent="0.25">
      <c r="G205" s="154"/>
      <c r="Q205" s="68"/>
      <c r="R205" s="68"/>
    </row>
    <row r="206" spans="5:18" x14ac:dyDescent="0.25">
      <c r="G206" s="154"/>
      <c r="Q206" s="68"/>
      <c r="R206" s="68"/>
    </row>
    <row r="207" spans="5:18" x14ac:dyDescent="0.25">
      <c r="G207" s="154"/>
      <c r="Q207" s="68"/>
      <c r="R207" s="68"/>
    </row>
    <row r="208" spans="5:18" x14ac:dyDescent="0.25">
      <c r="G208" s="154"/>
      <c r="Q208" s="68"/>
      <c r="R208" s="68"/>
    </row>
    <row r="209" spans="5:18" x14ac:dyDescent="0.25">
      <c r="G209" s="120"/>
      <c r="Q209" s="68"/>
      <c r="R209" s="68"/>
    </row>
    <row r="210" spans="5:18" x14ac:dyDescent="0.25">
      <c r="E210" s="156"/>
      <c r="F210" s="156"/>
      <c r="G210" s="122"/>
      <c r="H210" s="156"/>
      <c r="Q210" s="68"/>
      <c r="R210" s="68"/>
    </row>
    <row r="211" spans="5:18" x14ac:dyDescent="0.25">
      <c r="G211" s="154"/>
      <c r="Q211" s="68"/>
      <c r="R211" s="68"/>
    </row>
    <row r="212" spans="5:18" x14ac:dyDescent="0.25">
      <c r="G212" s="154"/>
      <c r="Q212" s="68"/>
      <c r="R212" s="68"/>
    </row>
    <row r="213" spans="5:18" x14ac:dyDescent="0.25">
      <c r="E213" s="156"/>
      <c r="F213" s="156"/>
      <c r="G213" s="122"/>
      <c r="H213" s="156"/>
      <c r="Q213" s="68"/>
      <c r="R213" s="68"/>
    </row>
    <row r="214" spans="5:18" x14ac:dyDescent="0.25">
      <c r="G214" s="154"/>
      <c r="Q214" s="68"/>
      <c r="R214" s="68"/>
    </row>
    <row r="215" spans="5:18" x14ac:dyDescent="0.25">
      <c r="E215" s="108"/>
      <c r="F215" s="108"/>
      <c r="G215" s="122"/>
      <c r="H215" s="108"/>
      <c r="Q215" s="68"/>
      <c r="R215" s="68"/>
    </row>
    <row r="216" spans="5:18" x14ac:dyDescent="0.25">
      <c r="G216" s="120"/>
      <c r="Q216" s="68"/>
      <c r="R216" s="68"/>
    </row>
    <row r="217" spans="5:18" x14ac:dyDescent="0.25">
      <c r="E217" s="156"/>
      <c r="F217" s="156"/>
      <c r="G217" s="122"/>
      <c r="H217" s="156"/>
      <c r="Q217" s="68"/>
      <c r="R217" s="68"/>
    </row>
    <row r="218" spans="5:18" x14ac:dyDescent="0.25">
      <c r="G218" s="120"/>
      <c r="Q218" s="68"/>
      <c r="R218" s="68"/>
    </row>
    <row r="219" spans="5:18" x14ac:dyDescent="0.25">
      <c r="G219" s="154"/>
      <c r="Q219" s="68"/>
      <c r="R219" s="68"/>
    </row>
    <row r="220" spans="5:18" x14ac:dyDescent="0.25">
      <c r="G220" s="120"/>
      <c r="Q220" s="68"/>
      <c r="R220" s="68"/>
    </row>
    <row r="221" spans="5:18" x14ac:dyDescent="0.25">
      <c r="E221" s="156"/>
      <c r="F221" s="156"/>
      <c r="G221" s="122"/>
      <c r="H221" s="156"/>
      <c r="Q221" s="68"/>
      <c r="R221" s="68"/>
    </row>
    <row r="222" spans="5:18" x14ac:dyDescent="0.25">
      <c r="G222" s="154"/>
      <c r="Q222" s="68"/>
      <c r="R222" s="68"/>
    </row>
    <row r="223" spans="5:18" x14ac:dyDescent="0.25">
      <c r="G223" s="154"/>
      <c r="Q223" s="68"/>
      <c r="R223" s="68"/>
    </row>
    <row r="224" spans="5:18" x14ac:dyDescent="0.25">
      <c r="G224" s="120"/>
      <c r="Q224" s="68"/>
      <c r="R224" s="68"/>
    </row>
    <row r="225" spans="5:18" x14ac:dyDescent="0.25">
      <c r="G225" s="120"/>
      <c r="Q225" s="68"/>
      <c r="R225" s="68"/>
    </row>
    <row r="226" spans="5:18" x14ac:dyDescent="0.25">
      <c r="G226" s="120"/>
      <c r="Q226" s="68"/>
      <c r="R226" s="68"/>
    </row>
    <row r="227" spans="5:18" x14ac:dyDescent="0.25">
      <c r="G227" s="154"/>
      <c r="Q227" s="68"/>
      <c r="R227" s="68"/>
    </row>
    <row r="228" spans="5:18" x14ac:dyDescent="0.25">
      <c r="G228" s="120"/>
      <c r="Q228" s="68"/>
      <c r="R228" s="68"/>
    </row>
    <row r="229" spans="5:18" x14ac:dyDescent="0.25">
      <c r="E229" s="156"/>
      <c r="F229" s="156"/>
      <c r="G229" s="122"/>
      <c r="H229" s="156"/>
      <c r="Q229" s="68"/>
      <c r="R229" s="68"/>
    </row>
    <row r="230" spans="5:18" x14ac:dyDescent="0.25">
      <c r="E230" s="108"/>
      <c r="F230" s="108"/>
      <c r="G230" s="122"/>
      <c r="H230" s="108"/>
      <c r="Q230" s="68"/>
      <c r="R230" s="68"/>
    </row>
    <row r="231" spans="5:18" x14ac:dyDescent="0.25">
      <c r="G231" s="154"/>
      <c r="Q231" s="68"/>
      <c r="R231" s="68"/>
    </row>
    <row r="232" spans="5:18" x14ac:dyDescent="0.25">
      <c r="E232" s="156"/>
      <c r="F232" s="156"/>
      <c r="G232" s="122"/>
      <c r="H232" s="156"/>
      <c r="Q232" s="68"/>
      <c r="R232" s="68"/>
    </row>
    <row r="233" spans="5:18" x14ac:dyDescent="0.25">
      <c r="G233" s="120"/>
      <c r="Q233" s="68"/>
      <c r="R233" s="68"/>
    </row>
    <row r="234" spans="5:18" x14ac:dyDescent="0.25">
      <c r="G234" s="120"/>
      <c r="Q234" s="68"/>
      <c r="R234" s="68"/>
    </row>
    <row r="235" spans="5:18" x14ac:dyDescent="0.25">
      <c r="G235" s="154"/>
      <c r="Q235" s="68"/>
      <c r="R235" s="68"/>
    </row>
    <row r="236" spans="5:18" x14ac:dyDescent="0.25">
      <c r="G236" s="120"/>
      <c r="Q236" s="68"/>
      <c r="R236" s="68"/>
    </row>
    <row r="237" spans="5:18" x14ac:dyDescent="0.25">
      <c r="G237" s="154"/>
      <c r="Q237" s="68"/>
      <c r="R237" s="68"/>
    </row>
    <row r="238" spans="5:18" x14ac:dyDescent="0.25">
      <c r="Q238" s="68"/>
      <c r="R238" s="68"/>
    </row>
    <row r="239" spans="5:18" x14ac:dyDescent="0.25">
      <c r="G239" s="154"/>
      <c r="Q239" s="68"/>
      <c r="R239" s="68"/>
    </row>
    <row r="240" spans="5:18" x14ac:dyDescent="0.25">
      <c r="G240" s="154"/>
      <c r="Q240" s="68"/>
      <c r="R240" s="68"/>
    </row>
    <row r="241" spans="7:18" x14ac:dyDescent="0.25">
      <c r="G241" s="154"/>
      <c r="Q241" s="68"/>
      <c r="R241" s="68"/>
    </row>
    <row r="242" spans="7:18" x14ac:dyDescent="0.25">
      <c r="G242" s="154"/>
      <c r="Q242" s="68"/>
      <c r="R242" s="68"/>
    </row>
    <row r="243" spans="7:18" x14ac:dyDescent="0.25">
      <c r="G243" s="154"/>
      <c r="Q243" s="68"/>
      <c r="R243" s="68"/>
    </row>
    <row r="244" spans="7:18" x14ac:dyDescent="0.25">
      <c r="G244" s="154"/>
      <c r="Q244" s="68"/>
      <c r="R244" s="68"/>
    </row>
    <row r="245" spans="7:18" x14ac:dyDescent="0.25">
      <c r="G245" s="154"/>
      <c r="Q245" s="68"/>
      <c r="R245" s="68"/>
    </row>
    <row r="246" spans="7:18" x14ac:dyDescent="0.25">
      <c r="G246" s="154"/>
      <c r="Q246" s="68"/>
      <c r="R246" s="68"/>
    </row>
    <row r="247" spans="7:18" x14ac:dyDescent="0.25">
      <c r="G247" s="154"/>
      <c r="Q247" s="68"/>
      <c r="R247" s="68"/>
    </row>
    <row r="248" spans="7:18" x14ac:dyDescent="0.25">
      <c r="G248" s="154"/>
      <c r="Q248" s="68"/>
      <c r="R248" s="68"/>
    </row>
    <row r="249" spans="7:18" x14ac:dyDescent="0.25">
      <c r="G249" s="154"/>
      <c r="Q249" s="68"/>
      <c r="R249" s="68"/>
    </row>
    <row r="250" spans="7:18" x14ac:dyDescent="0.25">
      <c r="G250" s="154"/>
      <c r="Q250" s="68"/>
      <c r="R250" s="68"/>
    </row>
    <row r="251" spans="7:18" x14ac:dyDescent="0.25">
      <c r="G251" s="154"/>
      <c r="Q251" s="68"/>
      <c r="R251" s="68"/>
    </row>
    <row r="252" spans="7:18" x14ac:dyDescent="0.25">
      <c r="G252" s="154"/>
      <c r="Q252" s="68"/>
      <c r="R252" s="68"/>
    </row>
    <row r="253" spans="7:18" x14ac:dyDescent="0.25">
      <c r="G253" s="154"/>
      <c r="Q253" s="68"/>
      <c r="R253" s="68"/>
    </row>
    <row r="254" spans="7:18" x14ac:dyDescent="0.25">
      <c r="G254" s="154"/>
      <c r="Q254" s="68"/>
      <c r="R254" s="68"/>
    </row>
    <row r="255" spans="7:18" x14ac:dyDescent="0.25">
      <c r="G255" s="154"/>
      <c r="Q255" s="68"/>
      <c r="R255" s="68"/>
    </row>
    <row r="256" spans="7:18" x14ac:dyDescent="0.25">
      <c r="G256" s="154"/>
      <c r="Q256" s="68"/>
      <c r="R256" s="68"/>
    </row>
    <row r="257" spans="5:18" x14ac:dyDescent="0.25">
      <c r="G257" s="120"/>
      <c r="Q257" s="68"/>
      <c r="R257" s="68"/>
    </row>
    <row r="258" spans="5:18" x14ac:dyDescent="0.25">
      <c r="E258" s="156"/>
      <c r="F258" s="156"/>
      <c r="G258" s="154"/>
      <c r="H258" s="156"/>
      <c r="Q258" s="68"/>
      <c r="R258" s="68"/>
    </row>
    <row r="259" spans="5:18" x14ac:dyDescent="0.25">
      <c r="E259" s="156"/>
      <c r="F259" s="156"/>
      <c r="G259" s="154"/>
      <c r="H259" s="156"/>
      <c r="Q259" s="68"/>
      <c r="R259" s="68"/>
    </row>
    <row r="260" spans="5:18" x14ac:dyDescent="0.25">
      <c r="E260" s="156"/>
      <c r="F260" s="156"/>
      <c r="G260" s="154"/>
      <c r="H260" s="156"/>
      <c r="Q260" s="68"/>
      <c r="R260" s="68"/>
    </row>
    <row r="261" spans="5:18" x14ac:dyDescent="0.25">
      <c r="E261" s="156"/>
      <c r="F261" s="156"/>
      <c r="G261" s="154"/>
      <c r="H261" s="156"/>
      <c r="Q261" s="68"/>
      <c r="R261" s="68"/>
    </row>
    <row r="262" spans="5:18" x14ac:dyDescent="0.25">
      <c r="E262" s="156"/>
      <c r="F262" s="156"/>
      <c r="G262" s="154"/>
      <c r="H262" s="156"/>
      <c r="Q262" s="68"/>
      <c r="R262" s="68"/>
    </row>
    <row r="263" spans="5:18" x14ac:dyDescent="0.25">
      <c r="E263" s="156"/>
      <c r="F263" s="156"/>
      <c r="G263" s="154"/>
      <c r="H263" s="156"/>
      <c r="Q263" s="68"/>
      <c r="R263" s="68"/>
    </row>
    <row r="264" spans="5:18" x14ac:dyDescent="0.25">
      <c r="E264" s="156"/>
      <c r="F264" s="156"/>
      <c r="G264" s="154"/>
      <c r="H264" s="156"/>
    </row>
    <row r="265" spans="5:18" x14ac:dyDescent="0.25">
      <c r="E265" s="156"/>
      <c r="F265" s="156"/>
      <c r="G265" s="154"/>
      <c r="H265" s="156"/>
    </row>
    <row r="266" spans="5:18" x14ac:dyDescent="0.25">
      <c r="E266" s="156"/>
      <c r="F266" s="156"/>
      <c r="G266" s="154"/>
      <c r="H266" s="156"/>
    </row>
    <row r="267" spans="5:18" x14ac:dyDescent="0.25">
      <c r="G267" s="154"/>
    </row>
    <row r="268" spans="5:18" x14ac:dyDescent="0.25">
      <c r="G268" s="154"/>
    </row>
    <row r="269" spans="5:18" x14ac:dyDescent="0.25">
      <c r="G269" s="154"/>
    </row>
    <row r="270" spans="5:18" x14ac:dyDescent="0.25">
      <c r="E270" s="108"/>
      <c r="F270" s="108"/>
      <c r="G270" s="122"/>
      <c r="H270" s="108"/>
    </row>
    <row r="271" spans="5:18" x14ac:dyDescent="0.25">
      <c r="G271" s="154"/>
    </row>
    <row r="272" spans="5:18" x14ac:dyDescent="0.25">
      <c r="G272" s="154"/>
    </row>
    <row r="273" spans="5:8" x14ac:dyDescent="0.25">
      <c r="E273" s="108"/>
      <c r="F273" s="108"/>
      <c r="G273" s="122"/>
      <c r="H273" s="108"/>
    </row>
    <row r="274" spans="5:8" x14ac:dyDescent="0.25">
      <c r="G274" s="154"/>
    </row>
    <row r="275" spans="5:8" x14ac:dyDescent="0.25">
      <c r="G275" s="154"/>
    </row>
    <row r="277" spans="5:8" x14ac:dyDescent="0.25">
      <c r="G277" s="154"/>
    </row>
    <row r="278" spans="5:8" x14ac:dyDescent="0.25">
      <c r="G278" s="154"/>
    </row>
    <row r="279" spans="5:8" x14ac:dyDescent="0.25">
      <c r="G279" s="154"/>
    </row>
    <row r="280" spans="5:8" x14ac:dyDescent="0.25">
      <c r="G280" s="154"/>
    </row>
    <row r="281" spans="5:8" x14ac:dyDescent="0.25">
      <c r="G281" s="154"/>
    </row>
    <row r="282" spans="5:8" x14ac:dyDescent="0.25">
      <c r="G282" s="154"/>
    </row>
    <row r="283" spans="5:8" x14ac:dyDescent="0.25">
      <c r="G283" s="154"/>
    </row>
    <row r="284" spans="5:8" x14ac:dyDescent="0.25">
      <c r="E284" s="108"/>
      <c r="F284" s="108"/>
      <c r="G284" s="101"/>
      <c r="H284" s="108"/>
    </row>
    <row r="285" spans="5:8" x14ac:dyDescent="0.25">
      <c r="E285" s="108"/>
      <c r="F285" s="108"/>
      <c r="G285" s="101"/>
      <c r="H285" s="108"/>
    </row>
    <row r="286" spans="5:8" x14ac:dyDescent="0.25">
      <c r="G286" s="154"/>
    </row>
    <row r="287" spans="5:8" x14ac:dyDescent="0.25">
      <c r="G287" s="154"/>
    </row>
    <row r="288" spans="5:8" x14ac:dyDescent="0.25">
      <c r="E288" s="108"/>
      <c r="F288" s="108"/>
      <c r="G288" s="122"/>
      <c r="H288" s="108"/>
    </row>
    <row r="289" spans="5:8" x14ac:dyDescent="0.25">
      <c r="G289" s="154"/>
    </row>
    <row r="290" spans="5:8" x14ac:dyDescent="0.25">
      <c r="E290" s="108"/>
      <c r="F290" s="108"/>
      <c r="G290" s="122"/>
      <c r="H290" s="108"/>
    </row>
    <row r="291" spans="5:8" x14ac:dyDescent="0.25">
      <c r="G291" s="154"/>
    </row>
    <row r="292" spans="5:8" x14ac:dyDescent="0.25">
      <c r="E292" s="156"/>
      <c r="F292" s="156"/>
      <c r="G292" s="154"/>
      <c r="H292" s="156"/>
    </row>
    <row r="293" spans="5:8" x14ac:dyDescent="0.25">
      <c r="E293" s="156"/>
      <c r="F293" s="156"/>
      <c r="G293" s="154"/>
      <c r="H293" s="156"/>
    </row>
    <row r="294" spans="5:8" x14ac:dyDescent="0.25">
      <c r="G294" s="154"/>
    </row>
    <row r="295" spans="5:8" x14ac:dyDescent="0.25">
      <c r="G295" s="154"/>
    </row>
    <row r="296" spans="5:8" x14ac:dyDescent="0.25">
      <c r="G296" s="154"/>
    </row>
    <row r="297" spans="5:8" x14ac:dyDescent="0.25">
      <c r="G297" s="154"/>
    </row>
    <row r="298" spans="5:8" x14ac:dyDescent="0.25">
      <c r="G298" s="154"/>
    </row>
    <row r="299" spans="5:8" x14ac:dyDescent="0.25">
      <c r="G299" s="154"/>
    </row>
    <row r="300" spans="5:8" x14ac:dyDescent="0.25">
      <c r="G300" s="154"/>
    </row>
    <row r="301" spans="5:8" x14ac:dyDescent="0.25">
      <c r="G301" s="154"/>
    </row>
    <row r="302" spans="5:8" x14ac:dyDescent="0.25">
      <c r="G302" s="154"/>
    </row>
    <row r="303" spans="5:8" x14ac:dyDescent="0.25">
      <c r="G303" s="154"/>
    </row>
    <row r="304" spans="5:8" x14ac:dyDescent="0.25">
      <c r="G304" s="154"/>
    </row>
    <row r="305" spans="5:8" x14ac:dyDescent="0.25">
      <c r="G305" s="154"/>
    </row>
    <row r="306" spans="5:8" x14ac:dyDescent="0.25">
      <c r="G306" s="154"/>
    </row>
    <row r="307" spans="5:8" x14ac:dyDescent="0.25">
      <c r="G307" s="154"/>
    </row>
    <row r="308" spans="5:8" x14ac:dyDescent="0.25">
      <c r="E308" s="108"/>
      <c r="F308" s="108"/>
      <c r="G308" s="101"/>
      <c r="H308" s="108"/>
    </row>
    <row r="309" spans="5:8" x14ac:dyDescent="0.25">
      <c r="G309" s="154"/>
    </row>
    <row r="310" spans="5:8" x14ac:dyDescent="0.25">
      <c r="G310" s="154"/>
    </row>
    <row r="311" spans="5:8" x14ac:dyDescent="0.25">
      <c r="G311" s="154"/>
    </row>
    <row r="312" spans="5:8" x14ac:dyDescent="0.25">
      <c r="G312" s="154"/>
    </row>
    <row r="313" spans="5:8" x14ac:dyDescent="0.25">
      <c r="G313" s="154"/>
    </row>
    <row r="314" spans="5:8" x14ac:dyDescent="0.25">
      <c r="G314" s="154"/>
    </row>
    <row r="315" spans="5:8" x14ac:dyDescent="0.25">
      <c r="G315" s="154"/>
    </row>
    <row r="316" spans="5:8" x14ac:dyDescent="0.25">
      <c r="G316" s="154"/>
    </row>
    <row r="317" spans="5:8" x14ac:dyDescent="0.25">
      <c r="G317" s="154"/>
    </row>
    <row r="319" spans="5:8" x14ac:dyDescent="0.25">
      <c r="G319" s="154"/>
    </row>
  </sheetData>
  <autoFilter ref="B1:B36" xr:uid="{00000000-0009-0000-0000-000000000000}"/>
  <sortState xmlns:xlrd2="http://schemas.microsoft.com/office/spreadsheetml/2017/richdata2" ref="A30:AL42">
    <sortCondition ref="A30:A42"/>
  </sortState>
  <mergeCells count="4">
    <mergeCell ref="A1:B2"/>
    <mergeCell ref="AC3:AD3"/>
    <mergeCell ref="M3:N3"/>
    <mergeCell ref="E3:F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371"/>
  <sheetViews>
    <sheetView zoomScaleNormal="100" workbookViewId="0">
      <pane xSplit="4" ySplit="4" topLeftCell="E245" activePane="bottomRight" state="frozen"/>
      <selection pane="topRight" activeCell="E1" sqref="E1"/>
      <selection pane="bottomLeft" activeCell="A3" sqref="A3"/>
      <selection pane="bottomRight" activeCell="D264" sqref="D264"/>
    </sheetView>
  </sheetViews>
  <sheetFormatPr defaultRowHeight="15" x14ac:dyDescent="0.25"/>
  <cols>
    <col min="1" max="1" width="22" style="11" bestFit="1" customWidth="1"/>
    <col min="2" max="2" width="27.5703125" style="11" bestFit="1" customWidth="1"/>
    <col min="3" max="3" width="8.140625" style="3" bestFit="1" customWidth="1"/>
    <col min="4" max="4" width="11.5703125" style="16" bestFit="1" customWidth="1"/>
    <col min="5" max="5" width="12.28515625" style="233" customWidth="1"/>
    <col min="6" max="6" width="12.28515625" style="219" customWidth="1"/>
    <col min="7" max="7" width="11" style="219" customWidth="1"/>
    <col min="8" max="8" width="2.85546875" style="219" customWidth="1"/>
    <col min="9" max="9" width="12.28515625" style="205" customWidth="1"/>
    <col min="10" max="10" width="12.28515625" style="196" customWidth="1"/>
    <col min="11" max="11" width="12.28515625" style="186" customWidth="1"/>
    <col min="12" max="12" width="12.28515625" style="170" customWidth="1"/>
    <col min="13" max="14" width="12.28515625" style="50" customWidth="1"/>
    <col min="15" max="15" width="12.28515625" style="219" customWidth="1"/>
    <col min="16" max="16" width="11" style="50" customWidth="1"/>
    <col min="17" max="18" width="9.140625" style="3"/>
    <col min="19" max="19" width="2.7109375" style="13" customWidth="1"/>
    <col min="20" max="20" width="10.42578125" style="13" customWidth="1"/>
    <col min="21" max="25" width="11" style="50" customWidth="1"/>
    <col min="26" max="27" width="9.140625" style="3"/>
    <col min="28" max="28" width="3.7109375" style="36" customWidth="1"/>
    <col min="29" max="29" width="9.85546875" style="50" customWidth="1"/>
    <col min="30" max="30" width="11" style="50" customWidth="1"/>
    <col min="31" max="34" width="9.85546875" style="50" customWidth="1"/>
    <col min="35" max="35" width="9.85546875" style="36" customWidth="1"/>
    <col min="36" max="36" width="10.85546875" style="3" customWidth="1"/>
    <col min="37" max="16384" width="9.140625" style="3"/>
  </cols>
  <sheetData>
    <row r="1" spans="1:57" s="19" customFormat="1" ht="15" customHeight="1" x14ac:dyDescent="0.5">
      <c r="A1" s="244" t="s">
        <v>10</v>
      </c>
      <c r="B1" s="245"/>
      <c r="C1" s="245"/>
      <c r="D1" s="28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3"/>
      <c r="R1" s="3"/>
      <c r="S1" s="215"/>
      <c r="T1" s="215"/>
      <c r="U1" s="102"/>
      <c r="V1" s="102"/>
      <c r="W1" s="102"/>
      <c r="X1" s="102"/>
      <c r="Y1" s="102"/>
      <c r="Z1" s="18"/>
      <c r="AA1" s="18"/>
      <c r="AB1" s="99"/>
      <c r="AC1" s="28"/>
      <c r="AD1" s="28"/>
      <c r="AE1" s="28"/>
      <c r="AF1" s="28"/>
      <c r="AG1" s="28"/>
      <c r="AH1" s="28"/>
      <c r="AI1" s="2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</row>
    <row r="2" spans="1:57" s="19" customFormat="1" ht="15" customHeight="1" x14ac:dyDescent="0.5">
      <c r="A2" s="246"/>
      <c r="B2" s="247"/>
      <c r="C2" s="247"/>
      <c r="D2" s="29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3"/>
      <c r="R2" s="3"/>
      <c r="S2" s="216"/>
      <c r="T2" s="216"/>
      <c r="U2" s="103"/>
      <c r="V2" s="103"/>
      <c r="W2" s="103"/>
      <c r="X2" s="103"/>
      <c r="Y2" s="103"/>
      <c r="Z2" s="20"/>
      <c r="AA2" s="20"/>
      <c r="AB2" s="100"/>
      <c r="AC2" s="29"/>
      <c r="AD2" s="29"/>
      <c r="AE2" s="29"/>
      <c r="AF2" s="29"/>
      <c r="AG2" s="29"/>
      <c r="AH2" s="29"/>
      <c r="AI2" s="29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</row>
    <row r="3" spans="1:57" x14ac:dyDescent="0.25">
      <c r="D3" s="36"/>
      <c r="E3" s="250">
        <v>2025</v>
      </c>
      <c r="F3" s="251"/>
      <c r="H3" s="36"/>
      <c r="I3" s="36"/>
      <c r="J3" s="36"/>
      <c r="K3" s="36"/>
      <c r="L3" s="36"/>
      <c r="M3" s="259">
        <v>2024</v>
      </c>
      <c r="N3" s="260"/>
      <c r="O3" s="224"/>
      <c r="Q3" s="6"/>
      <c r="R3" s="6"/>
      <c r="S3" s="207"/>
      <c r="T3" s="207"/>
      <c r="W3" s="50">
        <v>2023</v>
      </c>
      <c r="AC3" s="256">
        <v>2022</v>
      </c>
      <c r="AD3" s="257"/>
      <c r="AE3" s="257"/>
      <c r="AF3" s="257"/>
      <c r="AG3" s="257"/>
      <c r="AH3" s="257"/>
      <c r="AI3" s="258"/>
    </row>
    <row r="4" spans="1:57" ht="107.25" customHeight="1" x14ac:dyDescent="0.25">
      <c r="A4" s="4" t="s">
        <v>1</v>
      </c>
      <c r="B4" s="12"/>
      <c r="C4" s="4" t="s">
        <v>3</v>
      </c>
      <c r="D4" s="49" t="s">
        <v>1091</v>
      </c>
      <c r="E4" s="239" t="s">
        <v>1090</v>
      </c>
      <c r="F4" s="231" t="s">
        <v>4</v>
      </c>
      <c r="G4" s="119" t="s">
        <v>5</v>
      </c>
      <c r="H4" s="231"/>
      <c r="I4" s="210" t="s">
        <v>463</v>
      </c>
      <c r="J4" s="202" t="s">
        <v>392</v>
      </c>
      <c r="K4" s="176" t="s">
        <v>228</v>
      </c>
      <c r="L4" s="176" t="s">
        <v>879</v>
      </c>
      <c r="M4" s="163" t="s">
        <v>292</v>
      </c>
      <c r="N4" s="155" t="s">
        <v>4</v>
      </c>
      <c r="O4" s="104" t="s">
        <v>546</v>
      </c>
      <c r="P4" s="119" t="s">
        <v>5</v>
      </c>
      <c r="Q4" s="96" t="s">
        <v>1073</v>
      </c>
      <c r="R4" s="97" t="s">
        <v>544</v>
      </c>
      <c r="S4" s="68"/>
      <c r="T4" s="68"/>
      <c r="U4" s="130" t="s">
        <v>228</v>
      </c>
      <c r="V4" s="130" t="s">
        <v>292</v>
      </c>
      <c r="W4" s="118" t="s">
        <v>4</v>
      </c>
      <c r="X4" s="104" t="s">
        <v>546</v>
      </c>
      <c r="Y4" s="119" t="s">
        <v>5</v>
      </c>
      <c r="Z4" s="96" t="s">
        <v>760</v>
      </c>
      <c r="AA4" s="97" t="s">
        <v>544</v>
      </c>
      <c r="AB4" s="42"/>
      <c r="AC4" s="90" t="s">
        <v>4</v>
      </c>
      <c r="AD4" s="59" t="s">
        <v>62</v>
      </c>
      <c r="AE4" s="73" t="s">
        <v>228</v>
      </c>
      <c r="AF4" s="79" t="s">
        <v>292</v>
      </c>
      <c r="AG4" s="81" t="s">
        <v>392</v>
      </c>
      <c r="AH4" s="93" t="s">
        <v>463</v>
      </c>
      <c r="AI4" s="33" t="s">
        <v>34</v>
      </c>
      <c r="AJ4" s="95" t="s">
        <v>5</v>
      </c>
      <c r="AK4" s="96" t="s">
        <v>543</v>
      </c>
      <c r="AL4" s="97" t="s">
        <v>544</v>
      </c>
    </row>
    <row r="5" spans="1:57" s="17" customFormat="1" x14ac:dyDescent="0.25">
      <c r="A5" s="252" t="s">
        <v>545</v>
      </c>
      <c r="B5" s="252"/>
      <c r="C5" s="252"/>
      <c r="D5" s="22"/>
      <c r="E5" s="233"/>
      <c r="F5" s="219"/>
      <c r="G5" s="120"/>
      <c r="H5" s="219"/>
      <c r="I5" s="205"/>
      <c r="J5" s="196"/>
      <c r="K5" s="186"/>
      <c r="L5" s="170"/>
      <c r="M5" s="50"/>
      <c r="N5" s="50"/>
      <c r="O5" s="219"/>
      <c r="P5" s="120"/>
      <c r="Q5" s="96"/>
      <c r="R5" s="97"/>
      <c r="S5" s="209"/>
      <c r="T5" s="209"/>
      <c r="U5" s="50"/>
      <c r="V5" s="50"/>
      <c r="W5" s="50"/>
      <c r="X5" s="50"/>
      <c r="Y5" s="120"/>
      <c r="Z5" s="68"/>
      <c r="AA5" s="68"/>
      <c r="AB5" s="22"/>
      <c r="AC5" s="50"/>
      <c r="AD5" s="50"/>
      <c r="AE5" s="50"/>
      <c r="AF5" s="50"/>
      <c r="AG5" s="50"/>
      <c r="AH5" s="50"/>
      <c r="AI5" s="22"/>
      <c r="AJ5" s="68"/>
      <c r="AK5" s="68"/>
      <c r="AL5" s="68"/>
    </row>
    <row r="6" spans="1:57" x14ac:dyDescent="0.25">
      <c r="A6" s="11" t="s">
        <v>967</v>
      </c>
      <c r="B6" s="60" t="s">
        <v>0</v>
      </c>
      <c r="C6" s="62">
        <v>2014</v>
      </c>
      <c r="D6" s="1">
        <f t="shared" ref="D6:D23" si="0">R6+F6+E6</f>
        <v>514</v>
      </c>
      <c r="E6" s="233">
        <f>45+39</f>
        <v>84</v>
      </c>
      <c r="G6" s="120"/>
      <c r="I6" s="205">
        <f>72</f>
        <v>72</v>
      </c>
      <c r="J6" s="196">
        <f>72</f>
        <v>72</v>
      </c>
      <c r="L6" s="170">
        <f>34+9</f>
        <v>43</v>
      </c>
      <c r="M6" s="50">
        <f>50+9</f>
        <v>59</v>
      </c>
      <c r="O6" s="219">
        <f t="shared" ref="O6:O31" si="1">AA6</f>
        <v>184</v>
      </c>
      <c r="P6" s="120"/>
      <c r="Q6" s="96">
        <f t="shared" ref="Q6:Q31" si="2">AC6+I6+J6+K6+L6+M6+N6+O6</f>
        <v>430</v>
      </c>
      <c r="R6" s="97">
        <f t="shared" ref="R6:R40" si="3">IF(C6=2017, Q6/3,Q6)+P6</f>
        <v>430</v>
      </c>
      <c r="S6" s="209"/>
      <c r="T6" s="209"/>
      <c r="U6" s="50">
        <f>42</f>
        <v>42</v>
      </c>
      <c r="W6" s="50">
        <f>41</f>
        <v>41</v>
      </c>
      <c r="X6" s="50">
        <f>AL6</f>
        <v>101</v>
      </c>
      <c r="Y6" s="120"/>
      <c r="Z6" s="96">
        <f t="shared" ref="Z6:Z31" si="4">SUM(U6:X6)</f>
        <v>184</v>
      </c>
      <c r="AA6" s="97">
        <f t="shared" ref="AA6:AA40" si="5">IF(C6=2016, Z6/3,Z6)+Y6</f>
        <v>184</v>
      </c>
      <c r="AB6" s="22"/>
      <c r="AC6" s="41"/>
      <c r="AD6" s="41"/>
      <c r="AE6" s="41"/>
      <c r="AF6" s="41">
        <f>28+7</f>
        <v>35</v>
      </c>
      <c r="AG6" s="41">
        <f>36+30</f>
        <v>66</v>
      </c>
      <c r="AH6" s="41"/>
      <c r="AI6" s="13"/>
      <c r="AJ6" s="95"/>
      <c r="AK6" s="96">
        <f t="shared" ref="AK6:AK31" si="6">SUM(AC6:AI6)</f>
        <v>101</v>
      </c>
      <c r="AL6" s="97">
        <f t="shared" ref="AL6:AL39" si="7">IF(C6=2015, AK6/3,AK6)+AJ6</f>
        <v>101</v>
      </c>
    </row>
    <row r="7" spans="1:57" x14ac:dyDescent="0.25">
      <c r="A7" s="11" t="s">
        <v>550</v>
      </c>
      <c r="B7" s="60" t="s">
        <v>551</v>
      </c>
      <c r="C7" s="62">
        <v>2013</v>
      </c>
      <c r="D7" s="1">
        <f t="shared" si="0"/>
        <v>305</v>
      </c>
      <c r="G7" s="154"/>
      <c r="M7" s="50">
        <f>90+18+6</f>
        <v>114</v>
      </c>
      <c r="N7" s="50">
        <f>38+4</f>
        <v>42</v>
      </c>
      <c r="O7" s="219">
        <f t="shared" si="1"/>
        <v>149</v>
      </c>
      <c r="P7" s="154"/>
      <c r="Q7" s="96">
        <f t="shared" si="2"/>
        <v>305</v>
      </c>
      <c r="R7" s="97">
        <f t="shared" si="3"/>
        <v>305</v>
      </c>
      <c r="S7" s="209"/>
      <c r="T7" s="209"/>
      <c r="U7" s="50">
        <f>38+33</f>
        <v>71</v>
      </c>
      <c r="W7" s="50">
        <f>36+42</f>
        <v>78</v>
      </c>
      <c r="Y7" s="120"/>
      <c r="Z7" s="96">
        <f t="shared" si="4"/>
        <v>149</v>
      </c>
      <c r="AA7" s="97">
        <f t="shared" si="5"/>
        <v>149</v>
      </c>
      <c r="AB7" s="22"/>
      <c r="AC7" s="153"/>
      <c r="AD7" s="153"/>
      <c r="AE7" s="153"/>
      <c r="AF7" s="153"/>
      <c r="AG7" s="153"/>
      <c r="AH7" s="153"/>
      <c r="AI7" s="13"/>
      <c r="AJ7" s="95"/>
      <c r="AK7" s="96">
        <f t="shared" si="6"/>
        <v>0</v>
      </c>
      <c r="AL7" s="97">
        <f t="shared" si="7"/>
        <v>0</v>
      </c>
    </row>
    <row r="8" spans="1:57" x14ac:dyDescent="0.25">
      <c r="A8" s="11" t="s">
        <v>426</v>
      </c>
      <c r="B8" s="11" t="s">
        <v>63</v>
      </c>
      <c r="C8" s="3">
        <v>2015</v>
      </c>
      <c r="D8" s="1">
        <f t="shared" si="0"/>
        <v>468.66666666666669</v>
      </c>
      <c r="E8" s="233">
        <f>96+15</f>
        <v>111</v>
      </c>
      <c r="G8" s="120"/>
      <c r="I8" s="205">
        <f>33+6</f>
        <v>39</v>
      </c>
      <c r="J8" s="196">
        <f>15</f>
        <v>15</v>
      </c>
      <c r="K8" s="186">
        <f>22+3+3</f>
        <v>28</v>
      </c>
      <c r="L8" s="170">
        <f>54+8+3+3</f>
        <v>68</v>
      </c>
      <c r="M8" s="50">
        <f>22+22+12+6</f>
        <v>62</v>
      </c>
      <c r="N8" s="50">
        <f>38+12</f>
        <v>50</v>
      </c>
      <c r="O8" s="219">
        <f t="shared" si="1"/>
        <v>95.666666666666671</v>
      </c>
      <c r="P8" s="120"/>
      <c r="Q8" s="96">
        <f t="shared" si="2"/>
        <v>357.66666666666669</v>
      </c>
      <c r="R8" s="97">
        <f t="shared" si="3"/>
        <v>357.66666666666669</v>
      </c>
      <c r="S8" s="209"/>
      <c r="T8" s="209"/>
      <c r="U8" s="50">
        <f>39</f>
        <v>39</v>
      </c>
      <c r="V8" s="50">
        <f>50</f>
        <v>50</v>
      </c>
      <c r="X8" s="50">
        <f>AL8</f>
        <v>6.666666666666667</v>
      </c>
      <c r="Y8" s="120"/>
      <c r="Z8" s="96">
        <f t="shared" si="4"/>
        <v>95.666666666666671</v>
      </c>
      <c r="AA8" s="97">
        <f t="shared" si="5"/>
        <v>95.666666666666671</v>
      </c>
      <c r="AB8" s="101"/>
      <c r="AC8" s="41"/>
      <c r="AD8" s="41"/>
      <c r="AE8" s="41"/>
      <c r="AF8" s="41"/>
      <c r="AG8" s="41">
        <f>10</f>
        <v>10</v>
      </c>
      <c r="AH8" s="41">
        <f>10</f>
        <v>10</v>
      </c>
      <c r="AI8" s="41"/>
      <c r="AJ8" s="95"/>
      <c r="AK8" s="96">
        <f t="shared" si="6"/>
        <v>20</v>
      </c>
      <c r="AL8" s="97">
        <f t="shared" si="7"/>
        <v>6.666666666666667</v>
      </c>
    </row>
    <row r="9" spans="1:57" s="52" customFormat="1" x14ac:dyDescent="0.25">
      <c r="A9" s="11" t="s">
        <v>720</v>
      </c>
      <c r="B9" s="60" t="s">
        <v>0</v>
      </c>
      <c r="C9" s="62">
        <v>2014</v>
      </c>
      <c r="D9" s="1">
        <f t="shared" si="0"/>
        <v>519</v>
      </c>
      <c r="E9" s="233">
        <f>66+33</f>
        <v>99</v>
      </c>
      <c r="F9" s="219"/>
      <c r="G9" s="154"/>
      <c r="H9" s="219"/>
      <c r="I9" s="205">
        <f>96+3</f>
        <v>99</v>
      </c>
      <c r="J9" s="196">
        <f>76+20</f>
        <v>96</v>
      </c>
      <c r="K9" s="186">
        <f>26+14+3+4</f>
        <v>47</v>
      </c>
      <c r="L9" s="170">
        <f>54+18+1+9</f>
        <v>82</v>
      </c>
      <c r="M9" s="50">
        <f>40+9+3+9</f>
        <v>61</v>
      </c>
      <c r="N9" s="50">
        <f>31+4</f>
        <v>35</v>
      </c>
      <c r="O9" s="219">
        <f t="shared" si="1"/>
        <v>0</v>
      </c>
      <c r="P9" s="154"/>
      <c r="Q9" s="96">
        <f t="shared" si="2"/>
        <v>420</v>
      </c>
      <c r="R9" s="97">
        <f t="shared" si="3"/>
        <v>420</v>
      </c>
      <c r="S9" s="209"/>
      <c r="T9" s="209"/>
      <c r="U9" s="50"/>
      <c r="V9" s="50"/>
      <c r="W9" s="50"/>
      <c r="X9" s="50"/>
      <c r="Y9" s="120"/>
      <c r="Z9" s="96">
        <f t="shared" si="4"/>
        <v>0</v>
      </c>
      <c r="AA9" s="97">
        <f t="shared" si="5"/>
        <v>0</v>
      </c>
      <c r="AB9" s="22"/>
      <c r="AC9" s="153"/>
      <c r="AD9" s="153"/>
      <c r="AE9" s="153"/>
      <c r="AF9" s="153"/>
      <c r="AG9" s="153"/>
      <c r="AH9" s="153"/>
      <c r="AI9" s="13"/>
      <c r="AJ9" s="95"/>
      <c r="AK9" s="96">
        <f t="shared" si="6"/>
        <v>0</v>
      </c>
      <c r="AL9" s="97">
        <f t="shared" si="7"/>
        <v>0</v>
      </c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x14ac:dyDescent="0.25">
      <c r="A10" s="11" t="s">
        <v>721</v>
      </c>
      <c r="B10" s="11" t="s">
        <v>63</v>
      </c>
      <c r="C10" s="3">
        <v>2013</v>
      </c>
      <c r="D10" s="1">
        <f>R10+F10+E10</f>
        <v>407</v>
      </c>
      <c r="E10" s="156">
        <f>108+15</f>
        <v>123</v>
      </c>
      <c r="F10" s="156"/>
      <c r="G10" s="154"/>
      <c r="H10" s="156"/>
      <c r="I10" s="156">
        <f>54+6</f>
        <v>60</v>
      </c>
      <c r="J10" s="156">
        <f>78</f>
        <v>78</v>
      </c>
      <c r="K10" s="156">
        <f>18+10+3</f>
        <v>31</v>
      </c>
      <c r="L10" s="156">
        <f>53+2+3+3</f>
        <v>61</v>
      </c>
      <c r="M10" s="156">
        <f>0+4+12+6</f>
        <v>22</v>
      </c>
      <c r="N10" s="156">
        <f>30+2</f>
        <v>32</v>
      </c>
      <c r="O10" s="219">
        <f>AA10</f>
        <v>0</v>
      </c>
      <c r="P10" s="154"/>
      <c r="Q10" s="96">
        <f>AC10+I10+J10+K10+L10+M10+N10+O10</f>
        <v>284</v>
      </c>
      <c r="R10" s="97">
        <f>IF(C10=2017, Q10/3,Q10)+P10</f>
        <v>284</v>
      </c>
      <c r="S10" s="209"/>
      <c r="T10" s="209"/>
      <c r="Y10" s="120"/>
      <c r="Z10" s="96">
        <f>SUM(U10:X10)</f>
        <v>0</v>
      </c>
      <c r="AA10" s="97">
        <f>IF(C10=2016, Z10/3,Z10)+Y10</f>
        <v>0</v>
      </c>
      <c r="AB10" s="101"/>
      <c r="AC10" s="153"/>
      <c r="AD10" s="153"/>
      <c r="AE10" s="153"/>
      <c r="AF10" s="153"/>
      <c r="AG10" s="153"/>
      <c r="AH10" s="153"/>
      <c r="AI10" s="153"/>
      <c r="AJ10" s="95"/>
      <c r="AK10" s="96">
        <f>SUM(AC10:AI10)</f>
        <v>0</v>
      </c>
      <c r="AL10" s="97">
        <f>IF(C10=2015, AK10/3,AK10)+AJ10</f>
        <v>0</v>
      </c>
    </row>
    <row r="11" spans="1:57" x14ac:dyDescent="0.25">
      <c r="A11" s="45" t="s">
        <v>295</v>
      </c>
      <c r="B11" s="66" t="s">
        <v>0</v>
      </c>
      <c r="C11" s="46">
        <v>2015</v>
      </c>
      <c r="D11" s="1">
        <f t="shared" si="0"/>
        <v>601</v>
      </c>
      <c r="E11" s="233">
        <f>66+39</f>
        <v>105</v>
      </c>
      <c r="G11" s="120"/>
      <c r="I11" s="205">
        <f>33+9</f>
        <v>42</v>
      </c>
      <c r="J11" s="196">
        <f>21</f>
        <v>21</v>
      </c>
      <c r="L11" s="170">
        <f>42+6+9</f>
        <v>57</v>
      </c>
      <c r="M11" s="50">
        <f>94+24+9</f>
        <v>127</v>
      </c>
      <c r="N11" s="50">
        <f>38+10+6</f>
        <v>54</v>
      </c>
      <c r="O11" s="219">
        <f t="shared" si="1"/>
        <v>195</v>
      </c>
      <c r="P11" s="120"/>
      <c r="Q11" s="96">
        <f t="shared" si="2"/>
        <v>496</v>
      </c>
      <c r="R11" s="97">
        <f t="shared" si="3"/>
        <v>496</v>
      </c>
      <c r="S11" s="209"/>
      <c r="T11" s="209"/>
      <c r="U11" s="50">
        <f>48</f>
        <v>48</v>
      </c>
      <c r="V11" s="50">
        <f>62</f>
        <v>62</v>
      </c>
      <c r="W11" s="50">
        <f>46+3</f>
        <v>49</v>
      </c>
      <c r="X11" s="50">
        <f>AL11</f>
        <v>36</v>
      </c>
      <c r="Y11" s="120"/>
      <c r="Z11" s="96">
        <f t="shared" si="4"/>
        <v>195</v>
      </c>
      <c r="AA11" s="97">
        <f t="shared" si="5"/>
        <v>195</v>
      </c>
      <c r="AB11" s="101"/>
      <c r="AC11" s="41">
        <f>0</f>
        <v>0</v>
      </c>
      <c r="AD11" s="41"/>
      <c r="AE11" s="41">
        <f>36</f>
        <v>36</v>
      </c>
      <c r="AF11" s="41">
        <f>42</f>
        <v>42</v>
      </c>
      <c r="AG11" s="41">
        <f>3</f>
        <v>3</v>
      </c>
      <c r="AH11" s="94">
        <f>6+3</f>
        <v>9</v>
      </c>
      <c r="AI11" s="41">
        <v>12</v>
      </c>
      <c r="AJ11" s="95">
        <f>2</f>
        <v>2</v>
      </c>
      <c r="AK11" s="96">
        <f t="shared" si="6"/>
        <v>102</v>
      </c>
      <c r="AL11" s="97">
        <f t="shared" si="7"/>
        <v>36</v>
      </c>
    </row>
    <row r="12" spans="1:57" x14ac:dyDescent="0.25">
      <c r="A12" s="11" t="s">
        <v>564</v>
      </c>
      <c r="B12" s="71" t="s">
        <v>551</v>
      </c>
      <c r="C12" s="62">
        <v>2015</v>
      </c>
      <c r="D12" s="1">
        <f t="shared" si="0"/>
        <v>474</v>
      </c>
      <c r="E12" s="233">
        <f>105+30</f>
        <v>135</v>
      </c>
      <c r="G12" s="154"/>
      <c r="I12" s="205">
        <f>58+6</f>
        <v>64</v>
      </c>
      <c r="J12" s="196">
        <f>50+14</f>
        <v>64</v>
      </c>
      <c r="K12" s="186">
        <f>34+16</f>
        <v>50</v>
      </c>
      <c r="M12" s="50">
        <f>96+20+6</f>
        <v>122</v>
      </c>
      <c r="N12" s="50">
        <f>33+3</f>
        <v>36</v>
      </c>
      <c r="O12" s="219">
        <f t="shared" si="1"/>
        <v>3</v>
      </c>
      <c r="P12" s="154"/>
      <c r="Q12" s="96">
        <f t="shared" si="2"/>
        <v>339</v>
      </c>
      <c r="R12" s="97">
        <f t="shared" si="3"/>
        <v>339</v>
      </c>
      <c r="S12" s="209"/>
      <c r="T12" s="209"/>
      <c r="W12" s="50">
        <f>0+3</f>
        <v>3</v>
      </c>
      <c r="Y12" s="120"/>
      <c r="Z12" s="96">
        <f t="shared" si="4"/>
        <v>3</v>
      </c>
      <c r="AA12" s="97">
        <f t="shared" si="5"/>
        <v>3</v>
      </c>
      <c r="AB12" s="22"/>
      <c r="AC12" s="153"/>
      <c r="AD12" s="153"/>
      <c r="AE12" s="153"/>
      <c r="AF12" s="153"/>
      <c r="AG12" s="153"/>
      <c r="AH12" s="153"/>
      <c r="AI12" s="13"/>
      <c r="AJ12" s="95"/>
      <c r="AK12" s="96">
        <f t="shared" si="6"/>
        <v>0</v>
      </c>
      <c r="AL12" s="97">
        <f t="shared" si="7"/>
        <v>0</v>
      </c>
    </row>
    <row r="13" spans="1:57" x14ac:dyDescent="0.25">
      <c r="A13" s="45" t="s">
        <v>32</v>
      </c>
      <c r="B13" s="66" t="s">
        <v>0</v>
      </c>
      <c r="C13" s="46">
        <v>2015</v>
      </c>
      <c r="D13" s="1">
        <f t="shared" si="0"/>
        <v>901</v>
      </c>
      <c r="E13" s="158">
        <f>123+48</f>
        <v>171</v>
      </c>
      <c r="F13" s="158"/>
      <c r="G13" s="120"/>
      <c r="H13" s="158"/>
      <c r="I13" s="158">
        <f>114+12</f>
        <v>126</v>
      </c>
      <c r="J13" s="158">
        <f>69+12</f>
        <v>81</v>
      </c>
      <c r="K13" s="158">
        <f>21+12+6+3</f>
        <v>42</v>
      </c>
      <c r="L13" s="158">
        <f>63+12+6+9</f>
        <v>90</v>
      </c>
      <c r="M13" s="158">
        <f>57+3+15+9</f>
        <v>84</v>
      </c>
      <c r="N13" s="158">
        <f>58+14+6</f>
        <v>78</v>
      </c>
      <c r="O13" s="219">
        <f t="shared" si="1"/>
        <v>226</v>
      </c>
      <c r="P13" s="120"/>
      <c r="Q13" s="96">
        <f t="shared" si="2"/>
        <v>730</v>
      </c>
      <c r="R13" s="97">
        <f t="shared" si="3"/>
        <v>730</v>
      </c>
      <c r="S13" s="209"/>
      <c r="T13" s="209"/>
      <c r="U13" s="50">
        <f>52</f>
        <v>52</v>
      </c>
      <c r="V13" s="50">
        <f>80</f>
        <v>80</v>
      </c>
      <c r="W13" s="50">
        <f>48+3</f>
        <v>51</v>
      </c>
      <c r="X13" s="50">
        <f>AL13</f>
        <v>43</v>
      </c>
      <c r="Y13" s="120"/>
      <c r="Z13" s="96">
        <f t="shared" si="4"/>
        <v>226</v>
      </c>
      <c r="AA13" s="97">
        <f t="shared" si="5"/>
        <v>226</v>
      </c>
      <c r="AB13" s="101"/>
      <c r="AC13" s="41">
        <f>3</f>
        <v>3</v>
      </c>
      <c r="AD13" s="41"/>
      <c r="AE13" s="41">
        <f>39</f>
        <v>39</v>
      </c>
      <c r="AF13" s="41">
        <f>39</f>
        <v>39</v>
      </c>
      <c r="AG13" s="41">
        <f>12+3</f>
        <v>15</v>
      </c>
      <c r="AH13" s="41">
        <f>12+6</f>
        <v>18</v>
      </c>
      <c r="AI13" s="41">
        <v>9</v>
      </c>
      <c r="AJ13" s="95">
        <f>2</f>
        <v>2</v>
      </c>
      <c r="AK13" s="96">
        <f t="shared" si="6"/>
        <v>123</v>
      </c>
      <c r="AL13" s="97">
        <f t="shared" si="7"/>
        <v>43</v>
      </c>
    </row>
    <row r="14" spans="1:57" x14ac:dyDescent="0.25">
      <c r="A14" s="11" t="s">
        <v>490</v>
      </c>
      <c r="B14" s="60" t="s">
        <v>491</v>
      </c>
      <c r="C14" s="62">
        <v>2013</v>
      </c>
      <c r="D14" s="1">
        <f t="shared" si="0"/>
        <v>492</v>
      </c>
      <c r="G14" s="120"/>
      <c r="J14" s="196">
        <f>75</f>
        <v>75</v>
      </c>
      <c r="K14" s="186">
        <f>51</f>
        <v>51</v>
      </c>
      <c r="L14" s="170">
        <f>69</f>
        <v>69</v>
      </c>
      <c r="M14" s="50">
        <f>72</f>
        <v>72</v>
      </c>
      <c r="N14" s="50">
        <f>57</f>
        <v>57</v>
      </c>
      <c r="O14" s="219">
        <f t="shared" si="1"/>
        <v>168</v>
      </c>
      <c r="P14" s="120"/>
      <c r="Q14" s="96">
        <f t="shared" si="2"/>
        <v>492</v>
      </c>
      <c r="R14" s="97">
        <f t="shared" si="3"/>
        <v>492</v>
      </c>
      <c r="S14" s="209"/>
      <c r="T14" s="209"/>
      <c r="U14" s="50">
        <f>84</f>
        <v>84</v>
      </c>
      <c r="X14" s="50">
        <f>AL14</f>
        <v>84</v>
      </c>
      <c r="Y14" s="120"/>
      <c r="Z14" s="96">
        <f t="shared" si="4"/>
        <v>168</v>
      </c>
      <c r="AA14" s="97">
        <f t="shared" si="5"/>
        <v>168</v>
      </c>
      <c r="AB14" s="22"/>
      <c r="AC14" s="41"/>
      <c r="AD14" s="41"/>
      <c r="AE14" s="41"/>
      <c r="AF14" s="41"/>
      <c r="AG14" s="41"/>
      <c r="AH14" s="41">
        <f>84</f>
        <v>84</v>
      </c>
      <c r="AI14" s="13"/>
      <c r="AJ14" s="95"/>
      <c r="AK14" s="96">
        <f t="shared" si="6"/>
        <v>84</v>
      </c>
      <c r="AL14" s="97">
        <f t="shared" si="7"/>
        <v>84</v>
      </c>
    </row>
    <row r="15" spans="1:57" x14ac:dyDescent="0.25">
      <c r="A15" s="11" t="s">
        <v>562</v>
      </c>
      <c r="B15" s="71" t="s">
        <v>551</v>
      </c>
      <c r="C15" s="62">
        <v>2014</v>
      </c>
      <c r="D15" s="1">
        <f t="shared" si="0"/>
        <v>355</v>
      </c>
      <c r="E15" s="233">
        <f>0+30</f>
        <v>30</v>
      </c>
      <c r="G15" s="154"/>
      <c r="I15" s="205">
        <f>56+6</f>
        <v>62</v>
      </c>
      <c r="J15" s="196">
        <f>22+14</f>
        <v>36</v>
      </c>
      <c r="K15" s="186">
        <f>30+16</f>
        <v>46</v>
      </c>
      <c r="M15" s="50">
        <f>82+20+6</f>
        <v>108</v>
      </c>
      <c r="N15" s="50">
        <f>32+3</f>
        <v>35</v>
      </c>
      <c r="O15" s="219">
        <f t="shared" si="1"/>
        <v>38</v>
      </c>
      <c r="P15" s="154"/>
      <c r="Q15" s="96">
        <f t="shared" si="2"/>
        <v>325</v>
      </c>
      <c r="R15" s="97">
        <f t="shared" si="3"/>
        <v>325</v>
      </c>
      <c r="S15" s="209"/>
      <c r="T15" s="209"/>
      <c r="U15" s="50">
        <f>35</f>
        <v>35</v>
      </c>
      <c r="W15" s="50">
        <f>0+3</f>
        <v>3</v>
      </c>
      <c r="Y15" s="120"/>
      <c r="Z15" s="96">
        <f t="shared" si="4"/>
        <v>38</v>
      </c>
      <c r="AA15" s="97">
        <f t="shared" si="5"/>
        <v>38</v>
      </c>
      <c r="AB15" s="22"/>
      <c r="AC15" s="191"/>
      <c r="AD15" s="191"/>
      <c r="AE15" s="191"/>
      <c r="AF15" s="191"/>
      <c r="AG15" s="191"/>
      <c r="AH15" s="191"/>
      <c r="AJ15" s="95"/>
      <c r="AK15" s="96">
        <f t="shared" si="6"/>
        <v>0</v>
      </c>
      <c r="AL15" s="97">
        <f t="shared" si="7"/>
        <v>0</v>
      </c>
    </row>
    <row r="16" spans="1:57" x14ac:dyDescent="0.25">
      <c r="A16" s="71" t="s">
        <v>571</v>
      </c>
      <c r="B16" s="71" t="s">
        <v>64</v>
      </c>
      <c r="C16" s="72">
        <v>2014</v>
      </c>
      <c r="D16" s="1">
        <f t="shared" si="0"/>
        <v>459</v>
      </c>
      <c r="E16" s="233">
        <f>114+36</f>
        <v>150</v>
      </c>
      <c r="G16" s="154"/>
      <c r="J16" s="196">
        <f>39+3</f>
        <v>42</v>
      </c>
      <c r="L16" s="170">
        <f>30+9+9+6</f>
        <v>54</v>
      </c>
      <c r="M16" s="50">
        <f>0+18</f>
        <v>18</v>
      </c>
      <c r="N16" s="50">
        <f>30</f>
        <v>30</v>
      </c>
      <c r="O16" s="219">
        <f t="shared" si="1"/>
        <v>165</v>
      </c>
      <c r="P16" s="154"/>
      <c r="Q16" s="96">
        <f t="shared" si="2"/>
        <v>309</v>
      </c>
      <c r="R16" s="97">
        <f t="shared" si="3"/>
        <v>309</v>
      </c>
      <c r="S16" s="209"/>
      <c r="T16" s="209"/>
      <c r="U16" s="50">
        <f>0</f>
        <v>0</v>
      </c>
      <c r="V16" s="50">
        <f>135</f>
        <v>135</v>
      </c>
      <c r="W16" s="50">
        <f>24+6</f>
        <v>30</v>
      </c>
      <c r="Y16" s="120"/>
      <c r="Z16" s="96">
        <f t="shared" si="4"/>
        <v>165</v>
      </c>
      <c r="AA16" s="97">
        <f t="shared" si="5"/>
        <v>165</v>
      </c>
      <c r="AB16" s="22"/>
      <c r="AC16" s="191"/>
      <c r="AD16" s="191"/>
      <c r="AE16" s="191"/>
      <c r="AF16" s="191"/>
      <c r="AG16" s="191"/>
      <c r="AH16" s="191"/>
      <c r="AJ16" s="95"/>
      <c r="AK16" s="96">
        <f t="shared" si="6"/>
        <v>0</v>
      </c>
      <c r="AL16" s="97">
        <f t="shared" si="7"/>
        <v>0</v>
      </c>
    </row>
    <row r="17" spans="1:57" s="17" customFormat="1" x14ac:dyDescent="0.25">
      <c r="A17" s="11" t="s">
        <v>762</v>
      </c>
      <c r="B17" s="60" t="s">
        <v>63</v>
      </c>
      <c r="C17" s="62">
        <v>2014</v>
      </c>
      <c r="D17" s="1">
        <f>R17+F17+E17</f>
        <v>359</v>
      </c>
      <c r="E17" s="233">
        <f>96</f>
        <v>96</v>
      </c>
      <c r="F17" s="219"/>
      <c r="G17" s="154"/>
      <c r="H17" s="219"/>
      <c r="I17" s="219">
        <f>42+14</f>
        <v>56</v>
      </c>
      <c r="J17" s="219">
        <f>28+18</f>
        <v>46</v>
      </c>
      <c r="K17" s="219">
        <f>27+5</f>
        <v>32</v>
      </c>
      <c r="L17" s="219">
        <f>51+7</f>
        <v>58</v>
      </c>
      <c r="M17" s="219">
        <f>39+4+1</f>
        <v>44</v>
      </c>
      <c r="N17" s="219">
        <f>27</f>
        <v>27</v>
      </c>
      <c r="O17" s="219">
        <f>AA17</f>
        <v>0</v>
      </c>
      <c r="P17" s="154"/>
      <c r="Q17" s="96">
        <f>AC17+I17+J17+K17+L17+M17+N17+O17</f>
        <v>263</v>
      </c>
      <c r="R17" s="97">
        <f>IF(C17=2017, Q17/3,Q17)+P17</f>
        <v>263</v>
      </c>
      <c r="S17" s="209"/>
      <c r="T17" s="209"/>
      <c r="U17" s="205"/>
      <c r="V17" s="205"/>
      <c r="W17" s="205"/>
      <c r="X17" s="205"/>
      <c r="Y17" s="120"/>
      <c r="Z17" s="96">
        <f>SUM(U17:X17)</f>
        <v>0</v>
      </c>
      <c r="AA17" s="97">
        <f>IF(C17=2016, Z17/3,Z17)+Y17</f>
        <v>0</v>
      </c>
      <c r="AB17" s="22"/>
      <c r="AC17" s="153"/>
      <c r="AD17" s="153"/>
      <c r="AE17" s="153"/>
      <c r="AF17" s="153"/>
      <c r="AG17" s="153"/>
      <c r="AH17" s="153"/>
      <c r="AI17" s="13"/>
      <c r="AJ17" s="95"/>
      <c r="AK17" s="96"/>
      <c r="AL17" s="97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57" x14ac:dyDescent="0.25">
      <c r="A18" s="11" t="s">
        <v>92</v>
      </c>
      <c r="B18" s="60" t="s">
        <v>64</v>
      </c>
      <c r="C18" s="62">
        <v>2013</v>
      </c>
      <c r="D18" s="1">
        <f t="shared" si="0"/>
        <v>723</v>
      </c>
      <c r="E18" s="233">
        <f>117+45</f>
        <v>162</v>
      </c>
      <c r="G18" s="120"/>
      <c r="L18" s="170">
        <f>57+18+9+6</f>
        <v>90</v>
      </c>
      <c r="M18" s="50">
        <f>66+18</f>
        <v>84</v>
      </c>
      <c r="N18" s="50">
        <f>24</f>
        <v>24</v>
      </c>
      <c r="O18" s="219">
        <f t="shared" si="1"/>
        <v>363</v>
      </c>
      <c r="P18" s="120"/>
      <c r="Q18" s="96">
        <f t="shared" si="2"/>
        <v>561</v>
      </c>
      <c r="R18" s="97">
        <f t="shared" si="3"/>
        <v>561</v>
      </c>
      <c r="S18" s="209"/>
      <c r="T18" s="209"/>
      <c r="U18" s="50">
        <f>45</f>
        <v>45</v>
      </c>
      <c r="V18" s="50">
        <f>147</f>
        <v>147</v>
      </c>
      <c r="W18" s="50">
        <f>39+6</f>
        <v>45</v>
      </c>
      <c r="X18" s="50">
        <f t="shared" ref="X18:X30" si="8">AL18</f>
        <v>126</v>
      </c>
      <c r="Y18" s="120"/>
      <c r="Z18" s="96">
        <f t="shared" si="4"/>
        <v>363</v>
      </c>
      <c r="AA18" s="97">
        <f t="shared" si="5"/>
        <v>363</v>
      </c>
      <c r="AB18" s="22"/>
      <c r="AD18" s="50">
        <f>42+6</f>
        <v>48</v>
      </c>
      <c r="AE18" s="50">
        <f>72+6</f>
        <v>78</v>
      </c>
      <c r="AJ18" s="95"/>
      <c r="AK18" s="96">
        <f t="shared" si="6"/>
        <v>126</v>
      </c>
      <c r="AL18" s="97">
        <f t="shared" si="7"/>
        <v>126</v>
      </c>
    </row>
    <row r="19" spans="1:57" x14ac:dyDescent="0.25">
      <c r="A19" s="11" t="s">
        <v>334</v>
      </c>
      <c r="B19" s="64" t="s">
        <v>0</v>
      </c>
      <c r="C19" s="62">
        <v>2013</v>
      </c>
      <c r="D19" s="1">
        <f t="shared" si="0"/>
        <v>611</v>
      </c>
      <c r="E19" s="233">
        <f>102+42</f>
        <v>144</v>
      </c>
      <c r="G19" s="120"/>
      <c r="J19" s="196">
        <f>42</f>
        <v>42</v>
      </c>
      <c r="K19" s="186">
        <f>42+3</f>
        <v>45</v>
      </c>
      <c r="L19" s="170">
        <f>42+9</f>
        <v>51</v>
      </c>
      <c r="N19" s="50">
        <f>36+3+6</f>
        <v>45</v>
      </c>
      <c r="O19" s="219">
        <f t="shared" si="1"/>
        <v>284</v>
      </c>
      <c r="P19" s="120"/>
      <c r="Q19" s="96">
        <f t="shared" si="2"/>
        <v>467</v>
      </c>
      <c r="R19" s="97">
        <f t="shared" si="3"/>
        <v>467</v>
      </c>
      <c r="S19" s="209"/>
      <c r="T19" s="209"/>
      <c r="U19" s="50">
        <f>36</f>
        <v>36</v>
      </c>
      <c r="V19" s="50">
        <f>42</f>
        <v>42</v>
      </c>
      <c r="W19" s="50">
        <f>44+3</f>
        <v>47</v>
      </c>
      <c r="X19" s="50">
        <f t="shared" si="8"/>
        <v>159</v>
      </c>
      <c r="Y19" s="120"/>
      <c r="Z19" s="96">
        <f t="shared" si="4"/>
        <v>284</v>
      </c>
      <c r="AA19" s="97">
        <f t="shared" si="5"/>
        <v>284</v>
      </c>
      <c r="AB19" s="22"/>
      <c r="AF19" s="50">
        <f>21</f>
        <v>21</v>
      </c>
      <c r="AG19" s="50">
        <f>6</f>
        <v>6</v>
      </c>
      <c r="AH19" s="50">
        <f>28+3</f>
        <v>31</v>
      </c>
      <c r="AI19" s="36">
        <v>101</v>
      </c>
      <c r="AJ19" s="95"/>
      <c r="AK19" s="96">
        <f t="shared" si="6"/>
        <v>159</v>
      </c>
      <c r="AL19" s="97">
        <f t="shared" si="7"/>
        <v>159</v>
      </c>
    </row>
    <row r="20" spans="1:57" x14ac:dyDescent="0.25">
      <c r="A20" s="11" t="s">
        <v>407</v>
      </c>
      <c r="B20" s="60" t="s">
        <v>63</v>
      </c>
      <c r="C20" s="62">
        <v>2014</v>
      </c>
      <c r="D20" s="1">
        <f t="shared" si="0"/>
        <v>539</v>
      </c>
      <c r="E20" s="233">
        <f>45</f>
        <v>45</v>
      </c>
      <c r="G20" s="120"/>
      <c r="I20" s="205">
        <f>54</f>
        <v>54</v>
      </c>
      <c r="J20" s="196">
        <f>48</f>
        <v>48</v>
      </c>
      <c r="K20" s="186">
        <f>36+3</f>
        <v>39</v>
      </c>
      <c r="L20" s="170">
        <f>42+3+3</f>
        <v>48</v>
      </c>
      <c r="M20" s="50">
        <f>100+12+6</f>
        <v>118</v>
      </c>
      <c r="N20" s="50">
        <f>54+6</f>
        <v>60</v>
      </c>
      <c r="O20" s="219">
        <f t="shared" si="1"/>
        <v>127</v>
      </c>
      <c r="P20" s="120"/>
      <c r="Q20" s="96">
        <f t="shared" si="2"/>
        <v>494</v>
      </c>
      <c r="R20" s="97">
        <f t="shared" si="3"/>
        <v>494</v>
      </c>
      <c r="S20" s="209"/>
      <c r="T20" s="209"/>
      <c r="U20" s="50">
        <f>37</f>
        <v>37</v>
      </c>
      <c r="V20" s="50">
        <f>25</f>
        <v>25</v>
      </c>
      <c r="W20" s="50">
        <f>32</f>
        <v>32</v>
      </c>
      <c r="X20" s="50">
        <f t="shared" si="8"/>
        <v>33</v>
      </c>
      <c r="Y20" s="120"/>
      <c r="Z20" s="96">
        <f t="shared" si="4"/>
        <v>127</v>
      </c>
      <c r="AA20" s="97">
        <f t="shared" si="5"/>
        <v>127</v>
      </c>
      <c r="AB20" s="22"/>
      <c r="AC20" s="41"/>
      <c r="AD20" s="41"/>
      <c r="AE20" s="41"/>
      <c r="AF20" s="41"/>
      <c r="AG20" s="41">
        <f>10</f>
        <v>10</v>
      </c>
      <c r="AH20" s="41">
        <f>23</f>
        <v>23</v>
      </c>
      <c r="AI20" s="13"/>
      <c r="AJ20" s="95"/>
      <c r="AK20" s="96">
        <f t="shared" si="6"/>
        <v>33</v>
      </c>
      <c r="AL20" s="97">
        <f t="shared" si="7"/>
        <v>33</v>
      </c>
    </row>
    <row r="21" spans="1:57" x14ac:dyDescent="0.25">
      <c r="A21" s="11" t="s">
        <v>89</v>
      </c>
      <c r="B21" s="60" t="s">
        <v>64</v>
      </c>
      <c r="C21" s="62">
        <v>2013</v>
      </c>
      <c r="D21" s="1">
        <f t="shared" si="0"/>
        <v>687</v>
      </c>
      <c r="E21" s="233">
        <f>66+45</f>
        <v>111</v>
      </c>
      <c r="G21" s="120"/>
      <c r="L21" s="170">
        <f>30+18+9+6</f>
        <v>63</v>
      </c>
      <c r="M21" s="50">
        <f>54+18</f>
        <v>72</v>
      </c>
      <c r="N21" s="50">
        <f>36</f>
        <v>36</v>
      </c>
      <c r="O21" s="219">
        <f t="shared" si="1"/>
        <v>405</v>
      </c>
      <c r="P21" s="120"/>
      <c r="Q21" s="96">
        <f t="shared" si="2"/>
        <v>576</v>
      </c>
      <c r="R21" s="97">
        <f t="shared" si="3"/>
        <v>576</v>
      </c>
      <c r="S21" s="209"/>
      <c r="T21" s="209"/>
      <c r="U21" s="50">
        <f>15</f>
        <v>15</v>
      </c>
      <c r="V21" s="50">
        <f>147</f>
        <v>147</v>
      </c>
      <c r="W21" s="50">
        <f>48+6</f>
        <v>54</v>
      </c>
      <c r="X21" s="50">
        <f t="shared" si="8"/>
        <v>189</v>
      </c>
      <c r="Y21" s="120"/>
      <c r="Z21" s="96">
        <f t="shared" si="4"/>
        <v>405</v>
      </c>
      <c r="AA21" s="97">
        <f t="shared" si="5"/>
        <v>405</v>
      </c>
      <c r="AB21" s="22"/>
      <c r="AD21" s="50">
        <v>51</v>
      </c>
      <c r="AE21" s="50">
        <f>78+3</f>
        <v>81</v>
      </c>
      <c r="AF21" s="50">
        <f>48</f>
        <v>48</v>
      </c>
      <c r="AI21" s="36">
        <f>9</f>
        <v>9</v>
      </c>
      <c r="AJ21" s="95"/>
      <c r="AK21" s="96">
        <f t="shared" si="6"/>
        <v>189</v>
      </c>
      <c r="AL21" s="97">
        <f t="shared" si="7"/>
        <v>189</v>
      </c>
    </row>
    <row r="22" spans="1:57" x14ac:dyDescent="0.25">
      <c r="A22" s="71" t="s">
        <v>937</v>
      </c>
      <c r="B22" s="71" t="s">
        <v>0</v>
      </c>
      <c r="C22" s="72">
        <v>2013</v>
      </c>
      <c r="D22" s="1">
        <f>R22+F22+E22</f>
        <v>320</v>
      </c>
      <c r="E22" s="233">
        <f>0+33</f>
        <v>33</v>
      </c>
      <c r="G22" s="154"/>
      <c r="I22" s="205">
        <f>38+3</f>
        <v>41</v>
      </c>
      <c r="J22" s="196">
        <f>22+20</f>
        <v>42</v>
      </c>
      <c r="K22" s="186">
        <f>24+14+4</f>
        <v>42</v>
      </c>
      <c r="L22" s="170">
        <f>49+18+1</f>
        <v>68</v>
      </c>
      <c r="M22" s="50">
        <f>31+9+3</f>
        <v>43</v>
      </c>
      <c r="N22" s="50">
        <f>15+4</f>
        <v>19</v>
      </c>
      <c r="O22" s="219">
        <f>AA22</f>
        <v>32</v>
      </c>
      <c r="P22" s="154"/>
      <c r="Q22" s="96">
        <f>AC22+I22+J22+K22+L22+M22+N22+O22</f>
        <v>287</v>
      </c>
      <c r="R22" s="97">
        <f>IF(C22=2017, Q22/3,Q22)+P22</f>
        <v>287</v>
      </c>
      <c r="S22" s="209"/>
      <c r="T22" s="209"/>
      <c r="U22" s="50">
        <f>32</f>
        <v>32</v>
      </c>
      <c r="Y22" s="120"/>
      <c r="Z22" s="96">
        <f>SUM(U22:X22)</f>
        <v>32</v>
      </c>
      <c r="AA22" s="97">
        <f>IF(C22=2016, Z22/3,Z22)+Y22</f>
        <v>32</v>
      </c>
      <c r="AB22" s="22"/>
      <c r="AC22" s="219"/>
      <c r="AD22" s="219"/>
      <c r="AE22" s="219"/>
      <c r="AF22" s="219"/>
      <c r="AG22" s="219"/>
      <c r="AH22" s="219"/>
      <c r="AJ22" s="95"/>
      <c r="AK22" s="96">
        <f>SUM(AC22:AI22)</f>
        <v>0</v>
      </c>
      <c r="AL22" s="97">
        <f>IF(C22=2015, AK22/3,AK22)+AJ22</f>
        <v>0</v>
      </c>
    </row>
    <row r="23" spans="1:57" x14ac:dyDescent="0.25">
      <c r="A23" s="71" t="s">
        <v>227</v>
      </c>
      <c r="B23" s="66" t="s">
        <v>0</v>
      </c>
      <c r="C23" s="72">
        <v>2016</v>
      </c>
      <c r="D23" s="1">
        <f t="shared" si="0"/>
        <v>480</v>
      </c>
      <c r="E23" s="156"/>
      <c r="F23" s="156"/>
      <c r="G23" s="122"/>
      <c r="H23" s="156"/>
      <c r="I23" s="156">
        <f>105+9</f>
        <v>114</v>
      </c>
      <c r="J23" s="156"/>
      <c r="K23" s="156">
        <f>21+3</f>
        <v>24</v>
      </c>
      <c r="L23" s="156">
        <f>52+6+9</f>
        <v>67</v>
      </c>
      <c r="M23" s="156">
        <f>102+24+9</f>
        <v>135</v>
      </c>
      <c r="N23" s="156">
        <f>56+10+6</f>
        <v>72</v>
      </c>
      <c r="O23" s="219">
        <f t="shared" si="1"/>
        <v>68</v>
      </c>
      <c r="P23" s="122"/>
      <c r="Q23" s="96">
        <f t="shared" si="2"/>
        <v>480</v>
      </c>
      <c r="R23" s="97">
        <f t="shared" si="3"/>
        <v>480</v>
      </c>
      <c r="S23" s="209"/>
      <c r="T23" s="209"/>
      <c r="U23" s="108">
        <f>39+6</f>
        <v>45</v>
      </c>
      <c r="V23" s="108">
        <f>30+12</f>
        <v>42</v>
      </c>
      <c r="W23" s="108">
        <f>27</f>
        <v>27</v>
      </c>
      <c r="X23" s="108">
        <f t="shared" si="8"/>
        <v>90</v>
      </c>
      <c r="Y23" s="122"/>
      <c r="Z23" s="96">
        <f t="shared" si="4"/>
        <v>204</v>
      </c>
      <c r="AA23" s="97">
        <f t="shared" si="5"/>
        <v>68</v>
      </c>
      <c r="AB23" s="101"/>
      <c r="AC23" s="41"/>
      <c r="AD23" s="41"/>
      <c r="AE23" s="41">
        <f>33</f>
        <v>33</v>
      </c>
      <c r="AF23" s="41"/>
      <c r="AG23" s="41">
        <f>6</f>
        <v>6</v>
      </c>
      <c r="AH23" s="41">
        <f>3+3</f>
        <v>6</v>
      </c>
      <c r="AI23" s="13">
        <f>45</f>
        <v>45</v>
      </c>
      <c r="AK23" s="96">
        <f t="shared" si="6"/>
        <v>90</v>
      </c>
      <c r="AL23" s="97">
        <f t="shared" si="7"/>
        <v>90</v>
      </c>
    </row>
    <row r="24" spans="1:57" x14ac:dyDescent="0.25">
      <c r="A24" s="71" t="s">
        <v>303</v>
      </c>
      <c r="B24" s="60" t="s">
        <v>0</v>
      </c>
      <c r="C24" s="72">
        <v>2013</v>
      </c>
      <c r="D24" s="1">
        <f>R24+F24+E24+G24</f>
        <v>824</v>
      </c>
      <c r="E24" s="233">
        <f>66</f>
        <v>66</v>
      </c>
      <c r="G24" s="120">
        <f>15</f>
        <v>15</v>
      </c>
      <c r="I24" s="205">
        <f>87+15</f>
        <v>102</v>
      </c>
      <c r="J24" s="196">
        <f>54+6</f>
        <v>60</v>
      </c>
      <c r="K24" s="186">
        <f>45+9+6+3</f>
        <v>63</v>
      </c>
      <c r="L24" s="170">
        <f>30+15+6+9</f>
        <v>60</v>
      </c>
      <c r="M24" s="50">
        <f>48+6+15+9</f>
        <v>78</v>
      </c>
      <c r="O24" s="219">
        <f t="shared" si="1"/>
        <v>380</v>
      </c>
      <c r="P24" s="120"/>
      <c r="Q24" s="96">
        <f t="shared" si="2"/>
        <v>743</v>
      </c>
      <c r="R24" s="97">
        <f t="shared" si="3"/>
        <v>743</v>
      </c>
      <c r="S24" s="209"/>
      <c r="T24" s="209"/>
      <c r="U24" s="50">
        <f>30+36</f>
        <v>66</v>
      </c>
      <c r="V24" s="50">
        <f>37+5</f>
        <v>42</v>
      </c>
      <c r="W24" s="50">
        <f>44+36+3</f>
        <v>83</v>
      </c>
      <c r="X24" s="50">
        <f t="shared" si="8"/>
        <v>189</v>
      </c>
      <c r="Y24" s="120"/>
      <c r="Z24" s="96">
        <f t="shared" si="4"/>
        <v>380</v>
      </c>
      <c r="AA24" s="97">
        <f t="shared" si="5"/>
        <v>380</v>
      </c>
      <c r="AB24" s="22"/>
      <c r="AF24" s="50">
        <f>50</f>
        <v>50</v>
      </c>
      <c r="AG24" s="50">
        <f>46</f>
        <v>46</v>
      </c>
      <c r="AH24" s="50">
        <f>42+48+3</f>
        <v>93</v>
      </c>
      <c r="AJ24" s="95"/>
      <c r="AK24" s="96">
        <f t="shared" si="6"/>
        <v>189</v>
      </c>
      <c r="AL24" s="97">
        <f t="shared" si="7"/>
        <v>189</v>
      </c>
    </row>
    <row r="25" spans="1:57" x14ac:dyDescent="0.25">
      <c r="A25" s="45" t="s">
        <v>30</v>
      </c>
      <c r="B25" s="66" t="s">
        <v>0</v>
      </c>
      <c r="C25" s="46">
        <v>2015</v>
      </c>
      <c r="D25" s="1">
        <f t="shared" ref="D25:D72" si="9">R25+F25+E25</f>
        <v>833</v>
      </c>
      <c r="E25" s="233">
        <f>111+48</f>
        <v>159</v>
      </c>
      <c r="G25" s="120"/>
      <c r="I25" s="205">
        <f>111+12</f>
        <v>123</v>
      </c>
      <c r="J25" s="196">
        <f>42+12</f>
        <v>54</v>
      </c>
      <c r="K25" s="186">
        <f>3+12+6+3</f>
        <v>24</v>
      </c>
      <c r="L25" s="170">
        <f>54+12+6+9</f>
        <v>81</v>
      </c>
      <c r="M25" s="50">
        <f>104+3+15+9</f>
        <v>131</v>
      </c>
      <c r="N25" s="50">
        <f>52+14+3+6</f>
        <v>75</v>
      </c>
      <c r="O25" s="219">
        <f t="shared" si="1"/>
        <v>180</v>
      </c>
      <c r="P25" s="120"/>
      <c r="Q25" s="96">
        <f t="shared" si="2"/>
        <v>674</v>
      </c>
      <c r="R25" s="97">
        <f t="shared" si="3"/>
        <v>674</v>
      </c>
      <c r="S25" s="209"/>
      <c r="T25" s="209"/>
      <c r="U25" s="50">
        <f>42</f>
        <v>42</v>
      </c>
      <c r="V25" s="50">
        <f>26</f>
        <v>26</v>
      </c>
      <c r="W25" s="50">
        <f>54+3</f>
        <v>57</v>
      </c>
      <c r="X25" s="50">
        <f t="shared" si="8"/>
        <v>55</v>
      </c>
      <c r="Y25" s="120"/>
      <c r="Z25" s="96">
        <f t="shared" si="4"/>
        <v>180</v>
      </c>
      <c r="AA25" s="97">
        <f t="shared" si="5"/>
        <v>180</v>
      </c>
      <c r="AB25" s="101"/>
      <c r="AC25" s="41">
        <f>6</f>
        <v>6</v>
      </c>
      <c r="AD25" s="41"/>
      <c r="AE25" s="41">
        <f>42</f>
        <v>42</v>
      </c>
      <c r="AF25" s="41">
        <f>45</f>
        <v>45</v>
      </c>
      <c r="AG25" s="41">
        <f>9+3</f>
        <v>12</v>
      </c>
      <c r="AH25" s="41">
        <f>9+6</f>
        <v>15</v>
      </c>
      <c r="AI25" s="41">
        <v>30</v>
      </c>
      <c r="AJ25" s="95">
        <f>2+3</f>
        <v>5</v>
      </c>
      <c r="AK25" s="96">
        <f t="shared" si="6"/>
        <v>150</v>
      </c>
      <c r="AL25" s="97">
        <f t="shared" si="7"/>
        <v>55</v>
      </c>
    </row>
    <row r="26" spans="1:57" x14ac:dyDescent="0.25">
      <c r="A26" s="71" t="s">
        <v>423</v>
      </c>
      <c r="B26" s="11" t="s">
        <v>63</v>
      </c>
      <c r="C26" s="3">
        <v>2015</v>
      </c>
      <c r="D26" s="1">
        <f t="shared" si="9"/>
        <v>468.66666666666669</v>
      </c>
      <c r="E26" s="233">
        <f>66</f>
        <v>66</v>
      </c>
      <c r="G26" s="120"/>
      <c r="I26" s="205">
        <f>72</f>
        <v>72</v>
      </c>
      <c r="J26" s="196">
        <f>21</f>
        <v>21</v>
      </c>
      <c r="K26" s="186">
        <f>3+3</f>
        <v>6</v>
      </c>
      <c r="L26" s="170">
        <f>50+8+3+3</f>
        <v>64</v>
      </c>
      <c r="M26" s="50">
        <f>50+22+12+6</f>
        <v>90</v>
      </c>
      <c r="N26" s="50">
        <f>50+12</f>
        <v>62</v>
      </c>
      <c r="O26" s="219">
        <f t="shared" si="1"/>
        <v>87.666666666666671</v>
      </c>
      <c r="P26" s="120"/>
      <c r="Q26" s="96">
        <f t="shared" si="2"/>
        <v>402.66666666666669</v>
      </c>
      <c r="R26" s="97">
        <f t="shared" si="3"/>
        <v>402.66666666666669</v>
      </c>
      <c r="S26" s="209"/>
      <c r="T26" s="209"/>
      <c r="V26" s="50">
        <f>37</f>
        <v>37</v>
      </c>
      <c r="W26" s="50">
        <f>42</f>
        <v>42</v>
      </c>
      <c r="X26" s="50">
        <f t="shared" si="8"/>
        <v>8.6666666666666661</v>
      </c>
      <c r="Y26" s="120"/>
      <c r="Z26" s="96">
        <f t="shared" si="4"/>
        <v>87.666666666666671</v>
      </c>
      <c r="AA26" s="97">
        <f t="shared" si="5"/>
        <v>87.666666666666671</v>
      </c>
      <c r="AB26" s="101"/>
      <c r="AC26" s="41"/>
      <c r="AD26" s="41"/>
      <c r="AE26" s="41"/>
      <c r="AF26" s="41"/>
      <c r="AG26" s="41">
        <f>13</f>
        <v>13</v>
      </c>
      <c r="AH26" s="41">
        <f>13</f>
        <v>13</v>
      </c>
      <c r="AI26" s="13"/>
      <c r="AJ26" s="95"/>
      <c r="AK26" s="96">
        <f t="shared" si="6"/>
        <v>26</v>
      </c>
      <c r="AL26" s="97">
        <f t="shared" si="7"/>
        <v>8.6666666666666661</v>
      </c>
    </row>
    <row r="27" spans="1:57" x14ac:dyDescent="0.25">
      <c r="A27" s="11" t="s">
        <v>103</v>
      </c>
      <c r="B27" s="60" t="s">
        <v>64</v>
      </c>
      <c r="C27" s="62">
        <v>2013</v>
      </c>
      <c r="D27" s="1">
        <f t="shared" si="9"/>
        <v>574</v>
      </c>
      <c r="E27" s="233">
        <f>120</f>
        <v>120</v>
      </c>
      <c r="G27" s="120"/>
      <c r="J27" s="196">
        <f>48</f>
        <v>48</v>
      </c>
      <c r="L27" s="170">
        <f>60+9+6</f>
        <v>75</v>
      </c>
      <c r="M27" s="50">
        <f>51+18</f>
        <v>69</v>
      </c>
      <c r="N27" s="50">
        <f>42</f>
        <v>42</v>
      </c>
      <c r="O27" s="219">
        <f t="shared" si="1"/>
        <v>220</v>
      </c>
      <c r="P27" s="120"/>
      <c r="Q27" s="96">
        <f t="shared" si="2"/>
        <v>454</v>
      </c>
      <c r="R27" s="97">
        <f t="shared" si="3"/>
        <v>454</v>
      </c>
      <c r="S27" s="209"/>
      <c r="T27" s="209"/>
      <c r="U27" s="50">
        <f>30</f>
        <v>30</v>
      </c>
      <c r="V27" s="50">
        <f>126</f>
        <v>126</v>
      </c>
      <c r="W27" s="50">
        <f>39+6</f>
        <v>45</v>
      </c>
      <c r="X27" s="50">
        <f t="shared" si="8"/>
        <v>19</v>
      </c>
      <c r="Y27" s="120"/>
      <c r="Z27" s="96">
        <f t="shared" si="4"/>
        <v>220</v>
      </c>
      <c r="AA27" s="97">
        <f t="shared" si="5"/>
        <v>220</v>
      </c>
      <c r="AB27" s="22"/>
      <c r="AC27" s="41"/>
      <c r="AD27" s="41">
        <v>0</v>
      </c>
      <c r="AE27" s="41">
        <f>19</f>
        <v>19</v>
      </c>
      <c r="AF27" s="41"/>
      <c r="AG27" s="41"/>
      <c r="AH27" s="41"/>
      <c r="AI27" s="13"/>
      <c r="AJ27" s="95"/>
      <c r="AK27" s="96">
        <f t="shared" si="6"/>
        <v>19</v>
      </c>
      <c r="AL27" s="97">
        <f t="shared" si="7"/>
        <v>19</v>
      </c>
    </row>
    <row r="28" spans="1:57" x14ac:dyDescent="0.25">
      <c r="A28" s="11" t="s">
        <v>112</v>
      </c>
      <c r="B28" s="60" t="s">
        <v>63</v>
      </c>
      <c r="C28" s="62">
        <v>2014</v>
      </c>
      <c r="D28" s="1">
        <f t="shared" si="9"/>
        <v>623</v>
      </c>
      <c r="E28" s="233">
        <f>66+15</f>
        <v>81</v>
      </c>
      <c r="G28" s="120"/>
      <c r="I28" s="205">
        <f>96</f>
        <v>96</v>
      </c>
      <c r="J28" s="196">
        <f>21</f>
        <v>21</v>
      </c>
      <c r="K28" s="186">
        <f>30</f>
        <v>30</v>
      </c>
      <c r="L28" s="170">
        <f>30+3</f>
        <v>33</v>
      </c>
      <c r="M28" s="50">
        <f>42+3+6</f>
        <v>51</v>
      </c>
      <c r="N28" s="50">
        <f>30</f>
        <v>30</v>
      </c>
      <c r="O28" s="219">
        <f t="shared" si="1"/>
        <v>281</v>
      </c>
      <c r="P28" s="120"/>
      <c r="Q28" s="96">
        <f t="shared" si="2"/>
        <v>542</v>
      </c>
      <c r="R28" s="97">
        <f t="shared" si="3"/>
        <v>542</v>
      </c>
      <c r="S28" s="209"/>
      <c r="T28" s="209"/>
      <c r="V28" s="50">
        <f>48</f>
        <v>48</v>
      </c>
      <c r="W28" s="50">
        <f>48</f>
        <v>48</v>
      </c>
      <c r="X28" s="50">
        <f t="shared" si="8"/>
        <v>185</v>
      </c>
      <c r="Y28" s="120"/>
      <c r="Z28" s="96">
        <f t="shared" si="4"/>
        <v>281</v>
      </c>
      <c r="AA28" s="97">
        <f t="shared" si="5"/>
        <v>281</v>
      </c>
      <c r="AB28" s="22"/>
      <c r="AC28" s="41"/>
      <c r="AD28" s="41">
        <v>31</v>
      </c>
      <c r="AE28" s="41">
        <f>48</f>
        <v>48</v>
      </c>
      <c r="AF28" s="41">
        <f>18</f>
        <v>18</v>
      </c>
      <c r="AG28" s="41">
        <f>15</f>
        <v>15</v>
      </c>
      <c r="AH28" s="41">
        <f>42</f>
        <v>42</v>
      </c>
      <c r="AI28" s="13">
        <f>31</f>
        <v>31</v>
      </c>
      <c r="AJ28" s="95"/>
      <c r="AK28" s="96">
        <f t="shared" si="6"/>
        <v>185</v>
      </c>
      <c r="AL28" s="97">
        <f t="shared" si="7"/>
        <v>185</v>
      </c>
    </row>
    <row r="29" spans="1:57" x14ac:dyDescent="0.25">
      <c r="A29" s="11" t="s">
        <v>393</v>
      </c>
      <c r="B29" s="60" t="s">
        <v>0</v>
      </c>
      <c r="C29" s="62">
        <v>2013</v>
      </c>
      <c r="D29" s="1">
        <f t="shared" si="9"/>
        <v>611</v>
      </c>
      <c r="E29" s="233">
        <f>66+42</f>
        <v>108</v>
      </c>
      <c r="G29" s="120"/>
      <c r="I29" s="205">
        <f>87</f>
        <v>87</v>
      </c>
      <c r="J29" s="196">
        <f>21</f>
        <v>21</v>
      </c>
      <c r="K29" s="186">
        <f>39</f>
        <v>39</v>
      </c>
      <c r="M29" s="50">
        <f>15</f>
        <v>15</v>
      </c>
      <c r="O29" s="219">
        <f t="shared" si="1"/>
        <v>341</v>
      </c>
      <c r="P29" s="120"/>
      <c r="Q29" s="96">
        <f t="shared" si="2"/>
        <v>503</v>
      </c>
      <c r="R29" s="97">
        <f t="shared" si="3"/>
        <v>503</v>
      </c>
      <c r="S29" s="209"/>
      <c r="T29" s="209"/>
      <c r="U29" s="50">
        <f>41</f>
        <v>41</v>
      </c>
      <c r="V29" s="50">
        <f>66+54</f>
        <v>120</v>
      </c>
      <c r="W29" s="50">
        <f>47+36</f>
        <v>83</v>
      </c>
      <c r="X29" s="50">
        <f t="shared" si="8"/>
        <v>97</v>
      </c>
      <c r="Y29" s="120"/>
      <c r="Z29" s="96">
        <f t="shared" si="4"/>
        <v>341</v>
      </c>
      <c r="AA29" s="97">
        <f t="shared" si="5"/>
        <v>341</v>
      </c>
      <c r="AB29" s="22"/>
      <c r="AG29" s="50">
        <f>47</f>
        <v>47</v>
      </c>
      <c r="AH29" s="50">
        <f>50</f>
        <v>50</v>
      </c>
      <c r="AJ29" s="95"/>
      <c r="AK29" s="96">
        <f t="shared" si="6"/>
        <v>97</v>
      </c>
      <c r="AL29" s="97">
        <f t="shared" si="7"/>
        <v>97</v>
      </c>
    </row>
    <row r="30" spans="1:57" x14ac:dyDescent="0.25">
      <c r="A30" s="11" t="s">
        <v>115</v>
      </c>
      <c r="B30" s="60" t="s">
        <v>63</v>
      </c>
      <c r="C30" s="62">
        <v>2013</v>
      </c>
      <c r="D30" s="1">
        <f t="shared" si="9"/>
        <v>662</v>
      </c>
      <c r="G30" s="120"/>
      <c r="J30" s="196">
        <f>57</f>
        <v>57</v>
      </c>
      <c r="K30" s="186">
        <f>48</f>
        <v>48</v>
      </c>
      <c r="M30" s="50">
        <f>27+3+6</f>
        <v>36</v>
      </c>
      <c r="N30" s="50">
        <f>48</f>
        <v>48</v>
      </c>
      <c r="O30" s="219">
        <f t="shared" si="1"/>
        <v>473</v>
      </c>
      <c r="P30" s="120"/>
      <c r="Q30" s="96">
        <f t="shared" si="2"/>
        <v>662</v>
      </c>
      <c r="R30" s="97">
        <f t="shared" si="3"/>
        <v>662</v>
      </c>
      <c r="S30" s="209"/>
      <c r="T30" s="209"/>
      <c r="U30" s="50">
        <f>60+45</f>
        <v>105</v>
      </c>
      <c r="W30" s="50">
        <f>69+48</f>
        <v>117</v>
      </c>
      <c r="X30" s="50">
        <f t="shared" si="8"/>
        <v>251</v>
      </c>
      <c r="Y30" s="120"/>
      <c r="Z30" s="96">
        <f t="shared" si="4"/>
        <v>473</v>
      </c>
      <c r="AA30" s="97">
        <f t="shared" si="5"/>
        <v>473</v>
      </c>
      <c r="AB30" s="22"/>
      <c r="AC30" s="41"/>
      <c r="AD30" s="41">
        <v>38</v>
      </c>
      <c r="AE30" s="41">
        <f>25</f>
        <v>25</v>
      </c>
      <c r="AF30" s="41">
        <f>55+9</f>
        <v>64</v>
      </c>
      <c r="AG30" s="41">
        <f>8+33</f>
        <v>41</v>
      </c>
      <c r="AH30" s="41">
        <f>44+39</f>
        <v>83</v>
      </c>
      <c r="AI30" s="13"/>
      <c r="AJ30" s="95"/>
      <c r="AK30" s="96">
        <f t="shared" si="6"/>
        <v>251</v>
      </c>
      <c r="AL30" s="97">
        <f t="shared" si="7"/>
        <v>251</v>
      </c>
    </row>
    <row r="31" spans="1:57" s="17" customFormat="1" x14ac:dyDescent="0.25">
      <c r="A31" s="253" t="s">
        <v>37</v>
      </c>
      <c r="B31" s="254"/>
      <c r="C31" s="255"/>
      <c r="D31" s="1">
        <f t="shared" si="9"/>
        <v>0</v>
      </c>
      <c r="E31" s="233"/>
      <c r="F31" s="219"/>
      <c r="G31" s="219"/>
      <c r="H31" s="219"/>
      <c r="I31" s="205"/>
      <c r="J31" s="196"/>
      <c r="K31" s="186"/>
      <c r="L31" s="170"/>
      <c r="M31" s="50"/>
      <c r="N31" s="50"/>
      <c r="O31" s="219">
        <f t="shared" si="1"/>
        <v>0</v>
      </c>
      <c r="P31" s="50"/>
      <c r="Q31" s="96">
        <f t="shared" si="2"/>
        <v>0</v>
      </c>
      <c r="R31" s="97">
        <f t="shared" si="3"/>
        <v>0</v>
      </c>
      <c r="S31" s="209"/>
      <c r="T31" s="209"/>
      <c r="U31" s="50"/>
      <c r="V31" s="50"/>
      <c r="W31" s="50"/>
      <c r="X31" s="50"/>
      <c r="Y31" s="50"/>
      <c r="Z31" s="96">
        <f t="shared" si="4"/>
        <v>0</v>
      </c>
      <c r="AA31" s="97">
        <f t="shared" si="5"/>
        <v>0</v>
      </c>
      <c r="AB31" s="22"/>
      <c r="AC31" s="50"/>
      <c r="AD31" s="50"/>
      <c r="AE31" s="50"/>
      <c r="AF31" s="50"/>
      <c r="AG31" s="50"/>
      <c r="AH31" s="50"/>
      <c r="AI31" s="22"/>
      <c r="AJ31" s="68"/>
      <c r="AK31" s="96">
        <f t="shared" si="6"/>
        <v>0</v>
      </c>
      <c r="AL31" s="97">
        <f t="shared" si="7"/>
        <v>0</v>
      </c>
    </row>
    <row r="32" spans="1:57" x14ac:dyDescent="0.25">
      <c r="A32" s="11" t="s">
        <v>621</v>
      </c>
      <c r="B32" s="60" t="s">
        <v>6</v>
      </c>
      <c r="C32" s="62">
        <v>2015</v>
      </c>
      <c r="D32" s="1">
        <f>R32+F32+E32</f>
        <v>28</v>
      </c>
      <c r="G32" s="154"/>
      <c r="O32" s="219">
        <f>AA32</f>
        <v>28</v>
      </c>
      <c r="P32" s="154"/>
      <c r="Q32" s="96">
        <f>AC32+I32+J32+K32+L32+M32+N32+O32</f>
        <v>28</v>
      </c>
      <c r="R32" s="97">
        <f>IF(C32=2017, Q32/3,Q32)+P32</f>
        <v>28</v>
      </c>
      <c r="S32" s="209"/>
      <c r="T32" s="209"/>
      <c r="U32" s="50">
        <f>28</f>
        <v>28</v>
      </c>
      <c r="V32" s="50">
        <f>0</f>
        <v>0</v>
      </c>
      <c r="Y32" s="120"/>
      <c r="Z32" s="96">
        <f>SUM(U32:X32)</f>
        <v>28</v>
      </c>
      <c r="AA32" s="97">
        <f>IF(C32=2016, Z32/3,Z32)+Y32</f>
        <v>28</v>
      </c>
      <c r="AB32" s="22"/>
      <c r="AC32" s="174"/>
      <c r="AD32" s="174"/>
      <c r="AE32" s="174"/>
      <c r="AF32" s="174"/>
      <c r="AG32" s="174"/>
      <c r="AH32" s="174"/>
      <c r="AI32" s="22"/>
      <c r="AJ32" s="95"/>
      <c r="AK32" s="96">
        <f>SUM(AC32:AI32)</f>
        <v>0</v>
      </c>
      <c r="AL32" s="97">
        <f>IF(C32=2015, AK32/3,AK32)+AJ32</f>
        <v>0</v>
      </c>
    </row>
    <row r="33" spans="1:57" x14ac:dyDescent="0.25">
      <c r="A33" s="11" t="s">
        <v>724</v>
      </c>
      <c r="B33" s="60" t="s">
        <v>63</v>
      </c>
      <c r="C33" s="62">
        <v>2014</v>
      </c>
      <c r="D33" s="1">
        <f>R33+F33+E33</f>
        <v>143</v>
      </c>
      <c r="G33" s="154"/>
      <c r="I33" s="205">
        <f>44</f>
        <v>44</v>
      </c>
      <c r="J33" s="196">
        <f>50</f>
        <v>50</v>
      </c>
      <c r="K33" s="186">
        <f>6+5</f>
        <v>11</v>
      </c>
      <c r="L33" s="170">
        <f>0+7+4</f>
        <v>11</v>
      </c>
      <c r="M33" s="50">
        <f>23+4</f>
        <v>27</v>
      </c>
      <c r="N33" s="50">
        <f>0</f>
        <v>0</v>
      </c>
      <c r="O33" s="219">
        <f>AA33</f>
        <v>0</v>
      </c>
      <c r="P33" s="154"/>
      <c r="Q33" s="96">
        <f>AC33+I33+J33+K33+L33+M33+N33+O33</f>
        <v>143</v>
      </c>
      <c r="R33" s="97">
        <f>IF(C33=2017, Q33/3,Q33)+P33</f>
        <v>143</v>
      </c>
      <c r="S33" s="209"/>
      <c r="T33" s="209"/>
      <c r="Y33" s="120"/>
      <c r="Z33" s="96">
        <f>SUM(U33:X33)</f>
        <v>0</v>
      </c>
      <c r="AA33" s="97">
        <f>IF(C33=2016, Z33/3,Z33)+Y33</f>
        <v>0</v>
      </c>
      <c r="AB33" s="22"/>
      <c r="AC33" s="191"/>
      <c r="AD33" s="191"/>
      <c r="AE33" s="191"/>
      <c r="AF33" s="191"/>
      <c r="AG33" s="191"/>
      <c r="AH33" s="191"/>
      <c r="AI33" s="22"/>
      <c r="AJ33" s="68"/>
      <c r="AK33" s="96">
        <f>SUM(AC33:AI33)</f>
        <v>0</v>
      </c>
      <c r="AL33" s="97">
        <f>IF(C33=2015, AK33/3,AK33)+AJ33</f>
        <v>0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x14ac:dyDescent="0.25">
      <c r="A34" s="11" t="s">
        <v>43</v>
      </c>
      <c r="B34" s="60" t="s">
        <v>63</v>
      </c>
      <c r="C34" s="62">
        <v>2014</v>
      </c>
      <c r="D34" s="1">
        <f>R34+F34+E34</f>
        <v>137</v>
      </c>
      <c r="G34" s="120"/>
      <c r="O34" s="219">
        <f>AA34</f>
        <v>133</v>
      </c>
      <c r="P34" s="120"/>
      <c r="Q34" s="96">
        <f>AC34+I34+J34+K34+L34+M34+N34+O34</f>
        <v>137</v>
      </c>
      <c r="R34" s="97">
        <f>IF(C34=2017, Q34/3,Q34)+P34</f>
        <v>137</v>
      </c>
      <c r="U34" s="50">
        <f>24</f>
        <v>24</v>
      </c>
      <c r="W34" s="50">
        <f>16</f>
        <v>16</v>
      </c>
      <c r="X34" s="50">
        <f>AL34</f>
        <v>93</v>
      </c>
      <c r="Y34" s="120"/>
      <c r="Z34" s="96">
        <f>SUM(U34:X34)</f>
        <v>133</v>
      </c>
      <c r="AA34" s="97">
        <f>IF(C34=2016, Z34/3,Z34)+Y34</f>
        <v>133</v>
      </c>
      <c r="AB34" s="22"/>
      <c r="AC34" s="41">
        <f>4</f>
        <v>4</v>
      </c>
      <c r="AD34" s="41">
        <v>27</v>
      </c>
      <c r="AE34" s="41">
        <f>6</f>
        <v>6</v>
      </c>
      <c r="AF34" s="41">
        <f>36</f>
        <v>36</v>
      </c>
      <c r="AG34" s="41"/>
      <c r="AH34" s="41">
        <f>20</f>
        <v>20</v>
      </c>
      <c r="AI34" s="13"/>
      <c r="AJ34" s="95"/>
      <c r="AK34" s="96">
        <f>SUM(AC34:AI34)</f>
        <v>93</v>
      </c>
      <c r="AL34" s="97">
        <f>IF(C34=2015, AK34/3,AK34)+AJ34</f>
        <v>93</v>
      </c>
    </row>
    <row r="35" spans="1:57" x14ac:dyDescent="0.25">
      <c r="A35" s="45" t="s">
        <v>296</v>
      </c>
      <c r="B35" s="66" t="s">
        <v>297</v>
      </c>
      <c r="C35" s="46">
        <v>2015</v>
      </c>
      <c r="D35" s="1">
        <f>R35+F35+E35</f>
        <v>8.6666666666666661</v>
      </c>
      <c r="G35" s="120"/>
      <c r="O35" s="219">
        <f>AA35</f>
        <v>8.6666666666666661</v>
      </c>
      <c r="P35" s="120"/>
      <c r="Q35" s="96">
        <f>AC35+I35+J35+K35+L35+M35+N35+O35</f>
        <v>8.6666666666666661</v>
      </c>
      <c r="R35" s="97">
        <f>IF(C35=2017, Q35/3,Q35)+P35</f>
        <v>8.6666666666666661</v>
      </c>
      <c r="S35" s="209"/>
      <c r="T35" s="209"/>
      <c r="X35" s="50">
        <f>AL35</f>
        <v>8.6666666666666661</v>
      </c>
      <c r="Y35" s="120"/>
      <c r="Z35" s="96">
        <f>SUM(U35:X35)</f>
        <v>8.6666666666666661</v>
      </c>
      <c r="AA35" s="97">
        <f>IF(C35=2016, Z35/3,Z35)+Y35</f>
        <v>8.6666666666666661</v>
      </c>
      <c r="AB35" s="101"/>
      <c r="AC35" s="41"/>
      <c r="AD35" s="41"/>
      <c r="AE35" s="41"/>
      <c r="AF35" s="41">
        <f>24+2</f>
        <v>26</v>
      </c>
      <c r="AG35" s="41"/>
      <c r="AH35" s="41"/>
      <c r="AI35" s="190"/>
      <c r="AJ35" s="95"/>
      <c r="AK35" s="96">
        <f>SUM(AC35:AI35)</f>
        <v>26</v>
      </c>
      <c r="AL35" s="97">
        <f>IF(C35=2015, AK35/3,AK35)+AJ35</f>
        <v>8.6666666666666661</v>
      </c>
    </row>
    <row r="36" spans="1:57" s="17" customFormat="1" x14ac:dyDescent="0.25">
      <c r="A36" s="11" t="s">
        <v>476</v>
      </c>
      <c r="B36" s="60" t="s">
        <v>300</v>
      </c>
      <c r="C36" s="62">
        <v>2014</v>
      </c>
      <c r="D36" s="1">
        <f>R36+F36+E36</f>
        <v>23</v>
      </c>
      <c r="E36" s="233"/>
      <c r="F36" s="219"/>
      <c r="G36" s="120"/>
      <c r="H36" s="219"/>
      <c r="I36" s="205"/>
      <c r="J36" s="196"/>
      <c r="K36" s="186"/>
      <c r="L36" s="170"/>
      <c r="M36" s="50"/>
      <c r="N36" s="50"/>
      <c r="O36" s="219">
        <f>AA36</f>
        <v>23</v>
      </c>
      <c r="P36" s="120"/>
      <c r="Q36" s="96">
        <f>AC36+I36+J36+K36+L36+M36+N36+O36</f>
        <v>23</v>
      </c>
      <c r="R36" s="97">
        <f>IF(C36=2017, Q36/3,Q36)+P36</f>
        <v>23</v>
      </c>
      <c r="S36" s="209"/>
      <c r="T36" s="209"/>
      <c r="U36" s="50"/>
      <c r="V36" s="50"/>
      <c r="W36" s="50"/>
      <c r="X36" s="50">
        <f>AL36</f>
        <v>23</v>
      </c>
      <c r="Y36" s="120"/>
      <c r="Z36" s="96">
        <f>SUM(U36:X36)</f>
        <v>23</v>
      </c>
      <c r="AA36" s="97">
        <f>IF(C36=2016, Z36/3,Z36)+Y36</f>
        <v>23</v>
      </c>
      <c r="AB36" s="22"/>
      <c r="AC36" s="50"/>
      <c r="AD36" s="50"/>
      <c r="AE36" s="50"/>
      <c r="AF36" s="50"/>
      <c r="AG36" s="50"/>
      <c r="AH36" s="50">
        <f>23</f>
        <v>23</v>
      </c>
      <c r="AI36" s="22"/>
      <c r="AJ36" s="95"/>
      <c r="AK36" s="96">
        <f>SUM(AC36:AI36)</f>
        <v>23</v>
      </c>
      <c r="AL36" s="97">
        <f>IF(C36=2015, AK36/3,AK36)+AJ36</f>
        <v>23</v>
      </c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x14ac:dyDescent="0.25">
      <c r="A37" s="11" t="s">
        <v>611</v>
      </c>
      <c r="B37" s="60" t="s">
        <v>23</v>
      </c>
      <c r="C37" s="62"/>
      <c r="D37" s="1">
        <f>R37+F37+E37</f>
        <v>25</v>
      </c>
      <c r="G37" s="154"/>
      <c r="O37" s="219">
        <f>AA37</f>
        <v>25</v>
      </c>
      <c r="P37" s="154"/>
      <c r="Q37" s="96">
        <f>AC37+I37+J37+K37+L37+M37+N37+O37</f>
        <v>25</v>
      </c>
      <c r="R37" s="97">
        <f>IF(C37=2017, Q37/3,Q37)+P37</f>
        <v>25</v>
      </c>
      <c r="S37" s="209"/>
      <c r="T37" s="209"/>
      <c r="V37" s="50">
        <f>25</f>
        <v>25</v>
      </c>
      <c r="Y37" s="120"/>
      <c r="Z37" s="96">
        <f>SUM(U37:X37)</f>
        <v>25</v>
      </c>
      <c r="AA37" s="97">
        <f>IF(C37=2016, Z37/3,Z37)+Y37</f>
        <v>25</v>
      </c>
      <c r="AB37" s="22"/>
      <c r="AC37" s="191"/>
      <c r="AD37" s="191"/>
      <c r="AE37" s="191"/>
      <c r="AF37" s="191"/>
      <c r="AG37" s="191"/>
      <c r="AH37" s="191"/>
      <c r="AI37" s="22"/>
      <c r="AJ37" s="95"/>
      <c r="AK37" s="96">
        <f>SUM(AC37:AI37)</f>
        <v>0</v>
      </c>
      <c r="AL37" s="97">
        <f>IF(C37=2015, AK37/3,AK37)+AJ37</f>
        <v>0</v>
      </c>
    </row>
    <row r="38" spans="1:57" x14ac:dyDescent="0.25">
      <c r="A38" s="11" t="s">
        <v>484</v>
      </c>
      <c r="B38" s="60" t="s">
        <v>7</v>
      </c>
      <c r="C38" s="62">
        <v>2013</v>
      </c>
      <c r="D38" s="1">
        <f>R38+F38+E38</f>
        <v>2</v>
      </c>
      <c r="G38" s="120"/>
      <c r="O38" s="219">
        <f>AA38</f>
        <v>2</v>
      </c>
      <c r="P38" s="120"/>
      <c r="Q38" s="96">
        <f>AC38+I38+J38+K38+L38+M38+N38+O38</f>
        <v>2</v>
      </c>
      <c r="R38" s="97">
        <f>IF(C38=2017, Q38/3,Q38)+P38</f>
        <v>2</v>
      </c>
      <c r="S38" s="209"/>
      <c r="T38" s="209"/>
      <c r="V38" s="50">
        <f>2</f>
        <v>2</v>
      </c>
      <c r="X38" s="50">
        <f>AL38</f>
        <v>0</v>
      </c>
      <c r="Y38" s="120"/>
      <c r="Z38" s="96">
        <f>SUM(U38:X38)</f>
        <v>2</v>
      </c>
      <c r="AA38" s="97">
        <f>IF(C38=2016, Z38/3,Z38)+Y38</f>
        <v>2</v>
      </c>
      <c r="AB38" s="22"/>
      <c r="AC38" s="41"/>
      <c r="AD38" s="41"/>
      <c r="AE38" s="41"/>
      <c r="AF38" s="41"/>
      <c r="AG38" s="41"/>
      <c r="AH38" s="41">
        <f>0</f>
        <v>0</v>
      </c>
      <c r="AI38" s="13"/>
      <c r="AJ38" s="95"/>
      <c r="AK38" s="96">
        <f>SUM(AC38:AI38)</f>
        <v>0</v>
      </c>
      <c r="AL38" s="97">
        <f>IF(C38=2015, AK38/3,AK38)+AJ38</f>
        <v>0</v>
      </c>
    </row>
    <row r="39" spans="1:57" x14ac:dyDescent="0.25">
      <c r="A39" s="11" t="s">
        <v>610</v>
      </c>
      <c r="B39" s="60" t="s">
        <v>232</v>
      </c>
      <c r="C39" s="62"/>
      <c r="D39" s="1">
        <f>R39+F39+E39</f>
        <v>25</v>
      </c>
      <c r="G39" s="154"/>
      <c r="O39" s="219">
        <f>AA39</f>
        <v>25</v>
      </c>
      <c r="P39" s="154"/>
      <c r="Q39" s="96">
        <f>AC39+I39+J39+K39+L39+M39+N39+O39</f>
        <v>25</v>
      </c>
      <c r="R39" s="97">
        <f>IF(C39=2017, Q39/3,Q39)+P39</f>
        <v>25</v>
      </c>
      <c r="S39" s="209"/>
      <c r="T39" s="209"/>
      <c r="V39" s="50">
        <f>25</f>
        <v>25</v>
      </c>
      <c r="Y39" s="120"/>
      <c r="Z39" s="96">
        <f>SUM(U39:X39)</f>
        <v>25</v>
      </c>
      <c r="AA39" s="97">
        <f>IF(C39=2016, Z39/3,Z39)+Y39</f>
        <v>25</v>
      </c>
      <c r="AB39" s="22"/>
      <c r="AC39" s="153"/>
      <c r="AD39" s="153"/>
      <c r="AE39" s="153"/>
      <c r="AF39" s="153"/>
      <c r="AG39" s="153"/>
      <c r="AH39" s="153"/>
      <c r="AI39" s="13"/>
      <c r="AJ39" s="95"/>
      <c r="AK39" s="96">
        <f>SUM(AC39:AI39)</f>
        <v>0</v>
      </c>
      <c r="AL39" s="97">
        <f>IF(C39=2015, AK39/3,AK39)+AJ39</f>
        <v>0</v>
      </c>
    </row>
    <row r="40" spans="1:57" x14ac:dyDescent="0.25">
      <c r="A40" s="45" t="s">
        <v>68</v>
      </c>
      <c r="B40" s="66" t="s">
        <v>63</v>
      </c>
      <c r="C40" s="46">
        <v>2017</v>
      </c>
      <c r="D40" s="1">
        <f>R40+F40+E40</f>
        <v>10</v>
      </c>
      <c r="E40" s="108"/>
      <c r="F40" s="108"/>
      <c r="G40" s="122"/>
      <c r="H40" s="108"/>
      <c r="I40" s="108"/>
      <c r="J40" s="108"/>
      <c r="K40" s="108"/>
      <c r="L40" s="108"/>
      <c r="M40" s="108"/>
      <c r="N40" s="108"/>
      <c r="O40" s="219">
        <f>AA40</f>
        <v>30</v>
      </c>
      <c r="P40" s="122"/>
      <c r="Q40" s="96">
        <f>AC40+I40+J40+K40+L40+M40+N40+O40</f>
        <v>30</v>
      </c>
      <c r="R40" s="97">
        <f>IF(C40=2017, Q40/3,Q40)+P40</f>
        <v>10</v>
      </c>
      <c r="S40" s="101"/>
      <c r="T40" s="108">
        <f>0</f>
        <v>0</v>
      </c>
      <c r="U40" s="108"/>
      <c r="V40" s="108"/>
      <c r="W40" s="108"/>
      <c r="X40" s="108">
        <f>AL40</f>
        <v>30</v>
      </c>
      <c r="Y40" s="122"/>
      <c r="Z40" s="96">
        <f>SUM(U40:X40)</f>
        <v>30</v>
      </c>
      <c r="AA40" s="97">
        <f>IF(C40=2016, Z40/3,Z40)+Y40</f>
        <v>30</v>
      </c>
      <c r="AB40" s="101"/>
      <c r="AC40" s="41"/>
      <c r="AD40" s="41">
        <v>30</v>
      </c>
      <c r="AE40" s="41"/>
      <c r="AF40" s="41"/>
      <c r="AG40" s="41"/>
      <c r="AH40" s="41"/>
      <c r="AI40" s="137"/>
      <c r="AK40" s="3">
        <f>SUM(AC40:AJ40)</f>
        <v>30</v>
      </c>
      <c r="AL40" s="3">
        <f>AK40</f>
        <v>30</v>
      </c>
    </row>
    <row r="41" spans="1:57" x14ac:dyDescent="0.25">
      <c r="A41" s="45" t="s">
        <v>429</v>
      </c>
      <c r="B41" s="66" t="s">
        <v>406</v>
      </c>
      <c r="C41" s="46">
        <v>2015</v>
      </c>
      <c r="D41" s="1">
        <f>R41+F41+E41</f>
        <v>2</v>
      </c>
      <c r="G41" s="120"/>
      <c r="O41" s="219">
        <f>AA41</f>
        <v>2</v>
      </c>
      <c r="P41" s="120"/>
      <c r="Q41" s="96">
        <f>AC41+I41+J41+K41+L41+M41+N41+O41</f>
        <v>2</v>
      </c>
      <c r="R41" s="97">
        <f>IF(C41=2017, Q41/3,Q41)+P41</f>
        <v>2</v>
      </c>
      <c r="S41" s="209"/>
      <c r="T41" s="209"/>
      <c r="X41" s="50">
        <f>AL41</f>
        <v>2</v>
      </c>
      <c r="Y41" s="120"/>
      <c r="Z41" s="96">
        <f>SUM(U41:X41)</f>
        <v>2</v>
      </c>
      <c r="AA41" s="97">
        <f>IF(C41=2016, Z41/3,Z41)+Y41</f>
        <v>2</v>
      </c>
      <c r="AB41" s="101"/>
      <c r="AC41" s="41"/>
      <c r="AD41" s="41"/>
      <c r="AE41" s="41"/>
      <c r="AF41" s="41"/>
      <c r="AG41" s="41">
        <f>6</f>
        <v>6</v>
      </c>
      <c r="AH41" s="41"/>
      <c r="AI41" s="190"/>
      <c r="AJ41" s="95"/>
      <c r="AK41" s="96">
        <f>SUM(AC41:AI41)</f>
        <v>6</v>
      </c>
      <c r="AL41" s="97">
        <f>IF(C41=2015, AK41/3,AK41)+AJ41</f>
        <v>2</v>
      </c>
    </row>
    <row r="42" spans="1:57" x14ac:dyDescent="0.25">
      <c r="A42" s="11" t="s">
        <v>131</v>
      </c>
      <c r="B42" s="60" t="s">
        <v>64</v>
      </c>
      <c r="C42" s="62">
        <v>2013</v>
      </c>
      <c r="D42" s="1">
        <f>R42+F42+E42</f>
        <v>14</v>
      </c>
      <c r="G42" s="120"/>
      <c r="K42" s="191"/>
      <c r="L42" s="191"/>
      <c r="M42" s="191"/>
      <c r="N42" s="191"/>
      <c r="O42" s="219">
        <f>AA42</f>
        <v>14</v>
      </c>
      <c r="P42" s="120"/>
      <c r="Q42" s="96">
        <f>AC42+I42+J42+K42+L42+M42+N42+O42</f>
        <v>14</v>
      </c>
      <c r="R42" s="97">
        <f>IF(C42=2017, Q42/3,Q42)+P42</f>
        <v>14</v>
      </c>
      <c r="S42" s="209"/>
      <c r="T42" s="209"/>
      <c r="U42" s="191"/>
      <c r="V42" s="191"/>
      <c r="W42" s="191"/>
      <c r="X42" s="191">
        <f>AL42</f>
        <v>14</v>
      </c>
      <c r="Y42" s="120"/>
      <c r="Z42" s="96">
        <f>SUM(U42:X42)</f>
        <v>14</v>
      </c>
      <c r="AA42" s="97">
        <f>IF(C42=2016, Z42/3,Z42)+Y42</f>
        <v>14</v>
      </c>
      <c r="AB42" s="22"/>
      <c r="AC42" s="41"/>
      <c r="AD42" s="41">
        <v>8</v>
      </c>
      <c r="AE42" s="41">
        <f>6</f>
        <v>6</v>
      </c>
      <c r="AF42" s="41"/>
      <c r="AG42" s="41"/>
      <c r="AH42" s="41"/>
      <c r="AI42" s="13"/>
      <c r="AJ42" s="95"/>
      <c r="AK42" s="96">
        <f>SUM(AC42:AI42)</f>
        <v>14</v>
      </c>
      <c r="AL42" s="97">
        <f>IF(C42=2015, AK42/3,AK42)+AJ42</f>
        <v>14</v>
      </c>
    </row>
    <row r="43" spans="1:57" x14ac:dyDescent="0.25">
      <c r="A43" s="11" t="s">
        <v>868</v>
      </c>
      <c r="B43" s="60" t="s">
        <v>479</v>
      </c>
      <c r="C43" s="62">
        <v>2014</v>
      </c>
      <c r="D43" s="1">
        <f>R43+F43+E43</f>
        <v>3</v>
      </c>
      <c r="E43" s="233">
        <f>0</f>
        <v>0</v>
      </c>
      <c r="G43" s="154"/>
      <c r="J43" s="205"/>
      <c r="K43" s="205"/>
      <c r="L43" s="205"/>
      <c r="M43" s="205">
        <f>2+1</f>
        <v>3</v>
      </c>
      <c r="N43" s="205"/>
      <c r="O43" s="219">
        <f>AA43</f>
        <v>0</v>
      </c>
      <c r="P43" s="154"/>
      <c r="Q43" s="96">
        <f>AC43+I43+J43+K43+L43+M43+N43+O43</f>
        <v>3</v>
      </c>
      <c r="R43" s="97">
        <f>IF(C43=2017, Q43/3,Q43)+P43</f>
        <v>3</v>
      </c>
      <c r="S43" s="209"/>
      <c r="T43" s="209"/>
      <c r="U43" s="205"/>
      <c r="V43" s="205"/>
      <c r="W43" s="205"/>
      <c r="X43" s="205"/>
      <c r="Y43" s="120"/>
      <c r="Z43" s="96">
        <f>SUM(U43:X43)</f>
        <v>0</v>
      </c>
      <c r="AA43" s="97">
        <f>IF(C43=2016, Z43/3,Z43)+Y43</f>
        <v>0</v>
      </c>
      <c r="AB43" s="22"/>
      <c r="AC43" s="219"/>
      <c r="AD43" s="219"/>
      <c r="AE43" s="219"/>
      <c r="AF43" s="219"/>
      <c r="AG43" s="219"/>
      <c r="AH43" s="219"/>
      <c r="AI43" s="22"/>
      <c r="AJ43" s="68"/>
      <c r="AK43" s="96"/>
      <c r="AL43" s="9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</row>
    <row r="44" spans="1:57" x14ac:dyDescent="0.25">
      <c r="A44" s="11" t="s">
        <v>774</v>
      </c>
      <c r="B44" s="60" t="s">
        <v>297</v>
      </c>
      <c r="C44" s="62">
        <v>2013</v>
      </c>
      <c r="D44" s="1">
        <f>R44+F44+E44</f>
        <v>38</v>
      </c>
      <c r="G44" s="154"/>
      <c r="I44" s="219"/>
      <c r="J44" s="219"/>
      <c r="K44" s="219">
        <f>6</f>
        <v>6</v>
      </c>
      <c r="L44" s="219">
        <f>23</f>
        <v>23</v>
      </c>
      <c r="M44" s="219"/>
      <c r="N44" s="219">
        <f>9</f>
        <v>9</v>
      </c>
      <c r="O44" s="219">
        <f>AA44</f>
        <v>0</v>
      </c>
      <c r="P44" s="154"/>
      <c r="Q44" s="96">
        <f>AC44+I44+J44+K44+L44+M44+N44+O44</f>
        <v>38</v>
      </c>
      <c r="R44" s="97">
        <f>IF(C44=2017, Q44/3,Q44)+P44</f>
        <v>38</v>
      </c>
      <c r="S44" s="209"/>
      <c r="T44" s="209"/>
      <c r="U44" s="219"/>
      <c r="V44" s="219"/>
      <c r="W44" s="219"/>
      <c r="X44" s="219"/>
      <c r="Y44" s="120"/>
      <c r="Z44" s="96">
        <f>SUM(U44:X44)</f>
        <v>0</v>
      </c>
      <c r="AA44" s="97">
        <f>IF(C44=2016, Z44/3,Z44)+Y44</f>
        <v>0</v>
      </c>
      <c r="AB44" s="22"/>
      <c r="AC44" s="153"/>
      <c r="AD44" s="153"/>
      <c r="AE44" s="153"/>
      <c r="AF44" s="153"/>
      <c r="AG44" s="153"/>
      <c r="AH44" s="153"/>
      <c r="AI44" s="13"/>
      <c r="AJ44" s="95"/>
      <c r="AK44" s="96"/>
      <c r="AL44" s="97"/>
    </row>
    <row r="45" spans="1:57" x14ac:dyDescent="0.25">
      <c r="A45" s="71" t="s">
        <v>427</v>
      </c>
      <c r="B45" s="66" t="s">
        <v>0</v>
      </c>
      <c r="C45" s="46">
        <v>2016</v>
      </c>
      <c r="D45" s="1">
        <f>R45+F45+E45</f>
        <v>157.66666666666666</v>
      </c>
      <c r="E45" s="156">
        <f>16</f>
        <v>16</v>
      </c>
      <c r="F45" s="156"/>
      <c r="G45" s="122"/>
      <c r="H45" s="156"/>
      <c r="I45" s="156">
        <f>0+8</f>
        <v>8</v>
      </c>
      <c r="J45" s="156">
        <f>0+22</f>
        <v>22</v>
      </c>
      <c r="K45" s="156">
        <f>12+14+2</f>
        <v>28</v>
      </c>
      <c r="L45" s="156">
        <f>16+6</f>
        <v>22</v>
      </c>
      <c r="M45" s="156"/>
      <c r="N45" s="156">
        <f>28+8</f>
        <v>36</v>
      </c>
      <c r="O45" s="219">
        <f>AA45</f>
        <v>25.666666666666668</v>
      </c>
      <c r="P45" s="122"/>
      <c r="Q45" s="96">
        <f>AC45+I45+J45+K45+L45+M45+N45+O45</f>
        <v>141.66666666666666</v>
      </c>
      <c r="R45" s="97">
        <f>IF(C45=2017, Q45/3,Q45)+P45</f>
        <v>141.66666666666666</v>
      </c>
      <c r="S45" s="209"/>
      <c r="T45" s="209"/>
      <c r="U45" s="108">
        <f>27</f>
        <v>27</v>
      </c>
      <c r="V45" s="108">
        <f>23</f>
        <v>23</v>
      </c>
      <c r="W45" s="108">
        <f>18</f>
        <v>18</v>
      </c>
      <c r="X45" s="108">
        <f>AL45</f>
        <v>9</v>
      </c>
      <c r="Y45" s="122"/>
      <c r="Z45" s="96">
        <f>SUM(U45:X45)</f>
        <v>77</v>
      </c>
      <c r="AA45" s="97">
        <f>IF(C45=2016, Z45/3,Z45)+Y45</f>
        <v>25.666666666666668</v>
      </c>
      <c r="AB45" s="101"/>
      <c r="AC45" s="41"/>
      <c r="AD45" s="41"/>
      <c r="AE45" s="41"/>
      <c r="AF45" s="41"/>
      <c r="AG45" s="41">
        <f>9</f>
        <v>9</v>
      </c>
      <c r="AH45" s="41"/>
      <c r="AI45" s="204"/>
      <c r="AK45" s="96">
        <f>SUM(AC45:AI45)</f>
        <v>9</v>
      </c>
      <c r="AL45" s="97">
        <f>IF(C45=2015, AK45/3,AK45)+AJ45</f>
        <v>9</v>
      </c>
    </row>
    <row r="46" spans="1:57" x14ac:dyDescent="0.25">
      <c r="A46" s="11" t="s">
        <v>883</v>
      </c>
      <c r="B46" s="60" t="s">
        <v>406</v>
      </c>
      <c r="C46" s="62">
        <v>2016</v>
      </c>
      <c r="D46" s="1">
        <f>R46+F46+E46</f>
        <v>1</v>
      </c>
      <c r="E46" s="237"/>
      <c r="F46" s="237"/>
      <c r="G46" s="154"/>
      <c r="H46" s="237"/>
      <c r="I46" s="237"/>
      <c r="J46" s="237"/>
      <c r="K46" s="237"/>
      <c r="L46" s="237">
        <f>1</f>
        <v>1</v>
      </c>
      <c r="M46" s="237"/>
      <c r="N46" s="237"/>
      <c r="O46" s="219">
        <f>AA46</f>
        <v>0</v>
      </c>
      <c r="P46" s="154"/>
      <c r="Q46" s="96">
        <f>AC46+I46+J46+K46+L46+M46+N46+O46</f>
        <v>1</v>
      </c>
      <c r="R46" s="97">
        <f>IF(C46=2017, Q46/3,Q46)+P46</f>
        <v>1</v>
      </c>
      <c r="S46" s="209"/>
      <c r="T46" s="209"/>
      <c r="U46" s="237"/>
      <c r="V46" s="237"/>
      <c r="W46" s="237"/>
      <c r="X46" s="237"/>
      <c r="Y46" s="120"/>
      <c r="Z46" s="96">
        <f>SUM(U46:X46)</f>
        <v>0</v>
      </c>
      <c r="AA46" s="97">
        <f>IF(C46=2016, Z46/3,Z46)+Y46</f>
        <v>0</v>
      </c>
      <c r="AB46" s="22"/>
      <c r="AC46" s="153"/>
      <c r="AD46" s="153"/>
      <c r="AE46" s="153"/>
      <c r="AF46" s="153"/>
      <c r="AG46" s="153"/>
      <c r="AH46" s="153"/>
      <c r="AI46" s="13"/>
      <c r="AJ46" s="95"/>
      <c r="AK46" s="96"/>
      <c r="AL46" s="97"/>
    </row>
    <row r="47" spans="1:57" x14ac:dyDescent="0.25">
      <c r="A47" s="71" t="s">
        <v>716</v>
      </c>
      <c r="B47" s="66" t="s">
        <v>63</v>
      </c>
      <c r="C47" s="46">
        <v>2016</v>
      </c>
      <c r="D47" s="1">
        <f>R47+F47+E47</f>
        <v>0</v>
      </c>
      <c r="E47" s="156"/>
      <c r="F47" s="156"/>
      <c r="G47" s="122"/>
      <c r="H47" s="156"/>
      <c r="I47" s="156"/>
      <c r="J47" s="156"/>
      <c r="K47" s="156"/>
      <c r="L47" s="156"/>
      <c r="M47" s="156"/>
      <c r="N47" s="156"/>
      <c r="O47" s="219">
        <f>AA47</f>
        <v>0</v>
      </c>
      <c r="P47" s="122"/>
      <c r="Q47" s="96">
        <f>AC47+I47+J47+K47+L47+M47+N47+O47</f>
        <v>0</v>
      </c>
      <c r="R47" s="97">
        <f>IF(C47=2017, Q47/3,Q47)+P47</f>
        <v>0</v>
      </c>
      <c r="S47" s="209"/>
      <c r="T47" s="209"/>
      <c r="U47" s="108"/>
      <c r="V47" s="108"/>
      <c r="W47" s="108"/>
      <c r="X47" s="108"/>
      <c r="Y47" s="122"/>
      <c r="Z47" s="96">
        <f>SUM(U47:X47)</f>
        <v>0</v>
      </c>
      <c r="AA47" s="97">
        <f>IF(C47=2016, Z47/3,Z47)+Y47</f>
        <v>0</v>
      </c>
      <c r="AB47" s="101"/>
      <c r="AC47" s="41"/>
      <c r="AD47" s="41"/>
      <c r="AE47" s="41"/>
      <c r="AF47" s="41"/>
      <c r="AG47" s="41"/>
      <c r="AH47" s="41"/>
      <c r="AI47" s="236"/>
      <c r="AK47" s="96">
        <f>SUM(AC47:AI47)</f>
        <v>0</v>
      </c>
      <c r="AL47" s="97">
        <f>IF(C47=2015, AK47/3,AK47)+AJ47</f>
        <v>0</v>
      </c>
    </row>
    <row r="48" spans="1:57" x14ac:dyDescent="0.25">
      <c r="A48" s="11" t="s">
        <v>886</v>
      </c>
      <c r="B48" s="60" t="s">
        <v>0</v>
      </c>
      <c r="C48" s="62">
        <v>2016</v>
      </c>
      <c r="D48" s="1">
        <f>R48+F48+E48</f>
        <v>240</v>
      </c>
      <c r="E48" s="233">
        <f>42+14</f>
        <v>56</v>
      </c>
      <c r="G48" s="154"/>
      <c r="I48" s="205">
        <f>43+10</f>
        <v>53</v>
      </c>
      <c r="J48" s="196">
        <f>25+3</f>
        <v>28</v>
      </c>
      <c r="K48" s="186">
        <f>25+7</f>
        <v>32</v>
      </c>
      <c r="L48" s="170">
        <f>55+16</f>
        <v>71</v>
      </c>
      <c r="O48" s="219">
        <f>AA48</f>
        <v>0</v>
      </c>
      <c r="P48" s="154"/>
      <c r="Q48" s="96">
        <f>AC48+I48+J48+K48+L48+M48+N48+O48</f>
        <v>184</v>
      </c>
      <c r="R48" s="97">
        <f>IF(C48=2017, Q48/3,Q48)+P48</f>
        <v>184</v>
      </c>
      <c r="S48" s="209"/>
      <c r="T48" s="209"/>
      <c r="Y48" s="120"/>
      <c r="Z48" s="96">
        <f>SUM(U48:X48)</f>
        <v>0</v>
      </c>
      <c r="AA48" s="97">
        <f>IF(C48=2016, Z48/3,Z48)+Y48</f>
        <v>0</v>
      </c>
      <c r="AB48" s="22"/>
      <c r="AC48" s="153"/>
      <c r="AD48" s="153"/>
      <c r="AE48" s="153"/>
      <c r="AF48" s="153"/>
      <c r="AG48" s="153"/>
      <c r="AH48" s="153"/>
      <c r="AI48" s="13"/>
      <c r="AJ48" s="95"/>
      <c r="AK48" s="96"/>
      <c r="AL48" s="97"/>
    </row>
    <row r="49" spans="1:57" s="52" customFormat="1" x14ac:dyDescent="0.25">
      <c r="A49" s="11" t="s">
        <v>421</v>
      </c>
      <c r="B49" s="60" t="s">
        <v>7</v>
      </c>
      <c r="C49" s="62">
        <v>2014</v>
      </c>
      <c r="D49" s="1">
        <f>R49+F49+E49</f>
        <v>48</v>
      </c>
      <c r="E49" s="233"/>
      <c r="F49" s="219"/>
      <c r="G49" s="120"/>
      <c r="H49" s="219"/>
      <c r="I49" s="219"/>
      <c r="J49" s="219"/>
      <c r="K49" s="219"/>
      <c r="L49" s="219"/>
      <c r="M49" s="219">
        <f>0</f>
        <v>0</v>
      </c>
      <c r="N49" s="219"/>
      <c r="O49" s="219">
        <f>AA49</f>
        <v>48</v>
      </c>
      <c r="P49" s="120"/>
      <c r="Q49" s="96">
        <f>AC49+I49+J49+K49+L49+M49+N49+O49</f>
        <v>48</v>
      </c>
      <c r="R49" s="97">
        <f>IF(C49=2017, Q49/3,Q49)+P49</f>
        <v>48</v>
      </c>
      <c r="S49" s="209"/>
      <c r="T49" s="209"/>
      <c r="U49" s="219">
        <f>0</f>
        <v>0</v>
      </c>
      <c r="V49" s="219">
        <f>2</f>
        <v>2</v>
      </c>
      <c r="W49" s="219">
        <f>18</f>
        <v>18</v>
      </c>
      <c r="X49" s="219">
        <f>AL49</f>
        <v>28</v>
      </c>
      <c r="Y49" s="120"/>
      <c r="Z49" s="96">
        <f>SUM(U49:X49)</f>
        <v>48</v>
      </c>
      <c r="AA49" s="97">
        <f>IF(C49=2016, Z49/3,Z49)+Y49</f>
        <v>48</v>
      </c>
      <c r="AB49" s="22"/>
      <c r="AC49" s="41"/>
      <c r="AD49" s="41"/>
      <c r="AE49" s="41"/>
      <c r="AF49" s="41"/>
      <c r="AG49" s="41">
        <f>0</f>
        <v>0</v>
      </c>
      <c r="AH49" s="41">
        <f>28</f>
        <v>28</v>
      </c>
      <c r="AI49" s="13"/>
      <c r="AJ49" s="95"/>
      <c r="AK49" s="96">
        <f>SUM(AC49:AI49)</f>
        <v>28</v>
      </c>
      <c r="AL49" s="97">
        <f>IF(C49=2015, AK49/3,AK49)+AJ49</f>
        <v>28</v>
      </c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x14ac:dyDescent="0.25">
      <c r="A50" s="11" t="s">
        <v>827</v>
      </c>
      <c r="B50" s="60" t="s">
        <v>587</v>
      </c>
      <c r="C50" s="62">
        <v>2013</v>
      </c>
      <c r="D50" s="1">
        <f>R50+F50+E50</f>
        <v>3</v>
      </c>
      <c r="E50" s="237"/>
      <c r="F50" s="237"/>
      <c r="G50" s="154"/>
      <c r="H50" s="237"/>
      <c r="I50" s="237"/>
      <c r="J50" s="237"/>
      <c r="K50" s="237"/>
      <c r="L50" s="237"/>
      <c r="M50" s="237"/>
      <c r="N50" s="237">
        <f>3</f>
        <v>3</v>
      </c>
      <c r="O50" s="219">
        <f>AA50</f>
        <v>0</v>
      </c>
      <c r="P50" s="154"/>
      <c r="Q50" s="96">
        <f>AC50+I50+J50+K50+L50+M50+N50+O50</f>
        <v>3</v>
      </c>
      <c r="R50" s="97">
        <f>IF(C50=2017, Q50/3,Q50)+P50</f>
        <v>3</v>
      </c>
      <c r="S50" s="222"/>
      <c r="T50" s="222"/>
      <c r="U50" s="237"/>
      <c r="V50" s="237"/>
      <c r="W50" s="237"/>
      <c r="X50" s="237"/>
      <c r="Y50" s="120"/>
      <c r="Z50" s="96">
        <f>SUM(U50:X50)</f>
        <v>0</v>
      </c>
      <c r="AA50" s="97">
        <f>IF(C50=2016, Z50/3,Z50)+Y50</f>
        <v>0</v>
      </c>
      <c r="AB50" s="22"/>
      <c r="AC50" s="153"/>
      <c r="AD50" s="153"/>
      <c r="AE50" s="153"/>
      <c r="AF50" s="153"/>
      <c r="AG50" s="153"/>
      <c r="AH50" s="153"/>
      <c r="AI50" s="13"/>
      <c r="AJ50" s="157"/>
      <c r="AK50" s="96"/>
      <c r="AL50" s="97"/>
    </row>
    <row r="51" spans="1:57" x14ac:dyDescent="0.25">
      <c r="A51" s="11" t="s">
        <v>692</v>
      </c>
      <c r="B51" s="60" t="s">
        <v>7</v>
      </c>
      <c r="C51" s="62">
        <v>2013</v>
      </c>
      <c r="D51" s="1">
        <f>R51+F51+E51</f>
        <v>39</v>
      </c>
      <c r="E51" s="237"/>
      <c r="F51" s="237"/>
      <c r="G51" s="154"/>
      <c r="H51" s="237"/>
      <c r="I51" s="237"/>
      <c r="J51" s="237"/>
      <c r="K51" s="237"/>
      <c r="L51" s="237"/>
      <c r="M51" s="237">
        <f>22</f>
        <v>22</v>
      </c>
      <c r="N51" s="237">
        <f>0</f>
        <v>0</v>
      </c>
      <c r="O51" s="219">
        <f>AA51</f>
        <v>17</v>
      </c>
      <c r="P51" s="154"/>
      <c r="Q51" s="96">
        <f>AC51+I51+J51+K51+L51+M51+N51+O51</f>
        <v>39</v>
      </c>
      <c r="R51" s="97">
        <f>IF(C51=2017, Q51/3,Q51)+P51</f>
        <v>39</v>
      </c>
      <c r="S51" s="238"/>
      <c r="T51" s="238"/>
      <c r="U51" s="237">
        <f>17</f>
        <v>17</v>
      </c>
      <c r="V51" s="237"/>
      <c r="W51" s="237"/>
      <c r="X51" s="237"/>
      <c r="Y51" s="120"/>
      <c r="Z51" s="96">
        <f>SUM(U51:X51)</f>
        <v>17</v>
      </c>
      <c r="AA51" s="97">
        <f>IF(C51=2016, Z51/3,Z51)+Y51</f>
        <v>17</v>
      </c>
      <c r="AB51" s="22"/>
      <c r="AC51" s="153"/>
      <c r="AD51" s="153"/>
      <c r="AE51" s="153"/>
      <c r="AF51" s="153"/>
      <c r="AG51" s="153"/>
      <c r="AH51" s="153"/>
      <c r="AI51" s="13"/>
      <c r="AJ51" s="157"/>
      <c r="AK51" s="96">
        <f>SUM(AC51:AI51)</f>
        <v>0</v>
      </c>
      <c r="AL51" s="97">
        <f>IF(C51=2015, AK51/3,AK51)+AJ51</f>
        <v>0</v>
      </c>
    </row>
    <row r="52" spans="1:57" x14ac:dyDescent="0.25">
      <c r="A52" s="11" t="s">
        <v>230</v>
      </c>
      <c r="B52" s="11" t="s">
        <v>231</v>
      </c>
      <c r="C52" s="3">
        <v>2016</v>
      </c>
      <c r="D52" s="1">
        <f>R52+F52+E52</f>
        <v>21</v>
      </c>
      <c r="E52" s="156"/>
      <c r="F52" s="156"/>
      <c r="G52" s="122"/>
      <c r="H52" s="156"/>
      <c r="I52" s="156"/>
      <c r="J52" s="156"/>
      <c r="K52" s="156"/>
      <c r="L52" s="156"/>
      <c r="M52" s="156"/>
      <c r="N52" s="156"/>
      <c r="O52" s="219">
        <f>AA52</f>
        <v>21</v>
      </c>
      <c r="P52" s="122"/>
      <c r="Q52" s="96">
        <f>AC52+I52+J52+K52+L52+M52+N52+O52</f>
        <v>21</v>
      </c>
      <c r="R52" s="97">
        <f>IF(C52=2017, Q52/3,Q52)+P52</f>
        <v>21</v>
      </c>
      <c r="S52" s="209"/>
      <c r="T52" s="209"/>
      <c r="U52" s="108"/>
      <c r="V52" s="108"/>
      <c r="W52" s="108"/>
      <c r="X52" s="108">
        <f>AL52</f>
        <v>63</v>
      </c>
      <c r="Y52" s="122"/>
      <c r="Z52" s="96">
        <f>SUM(U52:X52)</f>
        <v>63</v>
      </c>
      <c r="AA52" s="97">
        <f>IF(C52=2016, Z52/3,Z52)+Y52</f>
        <v>21</v>
      </c>
      <c r="AB52" s="101"/>
      <c r="AC52" s="41"/>
      <c r="AD52" s="41"/>
      <c r="AE52" s="41">
        <f>24</f>
        <v>24</v>
      </c>
      <c r="AF52" s="41">
        <f>36</f>
        <v>36</v>
      </c>
      <c r="AG52" s="41"/>
      <c r="AH52" s="41">
        <f>0</f>
        <v>0</v>
      </c>
      <c r="AI52" s="41">
        <f>3</f>
        <v>3</v>
      </c>
      <c r="AJ52" s="74"/>
      <c r="AK52" s="96">
        <f>SUM(AC52:AI52)</f>
        <v>63</v>
      </c>
      <c r="AL52" s="97">
        <f>IF(C52=2015, AK52/3,AK52)+AJ52</f>
        <v>63</v>
      </c>
    </row>
    <row r="53" spans="1:57" x14ac:dyDescent="0.25">
      <c r="A53" s="11" t="s">
        <v>448</v>
      </c>
      <c r="B53" s="11" t="s">
        <v>63</v>
      </c>
      <c r="C53" s="3">
        <v>2017</v>
      </c>
      <c r="D53" s="1">
        <f>R53+F53+E53</f>
        <v>1.6666666666666667</v>
      </c>
      <c r="E53" s="108"/>
      <c r="F53" s="108"/>
      <c r="G53" s="122"/>
      <c r="H53" s="108"/>
      <c r="I53" s="108"/>
      <c r="J53" s="108"/>
      <c r="K53" s="108"/>
      <c r="L53" s="108"/>
      <c r="M53" s="108"/>
      <c r="N53" s="108"/>
      <c r="O53" s="219">
        <f>AA53</f>
        <v>5</v>
      </c>
      <c r="P53" s="122"/>
      <c r="Q53" s="96">
        <f>AC53+I53+J53+K53+L53+M53+N53+O53</f>
        <v>5</v>
      </c>
      <c r="R53" s="97">
        <f>IF(C53=2017, Q53/3,Q53)+P53</f>
        <v>1.6666666666666667</v>
      </c>
      <c r="S53" s="101"/>
      <c r="T53" s="108"/>
      <c r="U53" s="108"/>
      <c r="V53" s="108"/>
      <c r="W53" s="108"/>
      <c r="X53" s="108">
        <f>AL53</f>
        <v>5</v>
      </c>
      <c r="Y53" s="122"/>
      <c r="Z53" s="96">
        <f>SUM(U53:X53)</f>
        <v>5</v>
      </c>
      <c r="AA53" s="97">
        <f>IF(C53=2016, Z53/3,Z53)+Y53</f>
        <v>5</v>
      </c>
      <c r="AB53" s="101"/>
      <c r="AC53" s="41"/>
      <c r="AD53" s="41"/>
      <c r="AE53" s="41"/>
      <c r="AF53" s="41"/>
      <c r="AG53" s="41">
        <f>5</f>
        <v>5</v>
      </c>
      <c r="AH53" s="41"/>
      <c r="AI53" s="41"/>
      <c r="AK53" s="3">
        <f>SUM(AC53:AJ53)</f>
        <v>5</v>
      </c>
      <c r="AL53" s="3">
        <f>AK53</f>
        <v>5</v>
      </c>
    </row>
    <row r="54" spans="1:57" x14ac:dyDescent="0.25">
      <c r="A54" s="11" t="s">
        <v>845</v>
      </c>
      <c r="B54" s="60" t="s">
        <v>479</v>
      </c>
      <c r="C54" s="62">
        <v>2014</v>
      </c>
      <c r="D54" s="1">
        <f>R54+F54+E54</f>
        <v>7</v>
      </c>
      <c r="E54" s="233">
        <f>6</f>
        <v>6</v>
      </c>
      <c r="G54" s="154"/>
      <c r="M54" s="50">
        <f>0+1</f>
        <v>1</v>
      </c>
      <c r="O54" s="219">
        <f>AA54</f>
        <v>0</v>
      </c>
      <c r="P54" s="154"/>
      <c r="Q54" s="96">
        <f>AC54+I54+J54+K54+L54+M54+N54+O54</f>
        <v>1</v>
      </c>
      <c r="R54" s="97">
        <f>IF(C54=2017, Q54/3,Q54)+P54</f>
        <v>1</v>
      </c>
      <c r="S54" s="209"/>
      <c r="T54" s="209"/>
      <c r="Y54" s="120"/>
      <c r="Z54" s="96">
        <f>SUM(U54:X54)</f>
        <v>0</v>
      </c>
      <c r="AA54" s="97">
        <f>IF(C54=2016, Z54/3,Z54)+Y54</f>
        <v>0</v>
      </c>
      <c r="AB54" s="22"/>
      <c r="AC54" s="153"/>
      <c r="AD54" s="153"/>
      <c r="AE54" s="153"/>
      <c r="AF54" s="153"/>
      <c r="AG54" s="153"/>
      <c r="AH54" s="153"/>
      <c r="AI54" s="13"/>
      <c r="AJ54" s="95"/>
      <c r="AK54" s="96"/>
      <c r="AL54" s="97"/>
    </row>
    <row r="55" spans="1:57" x14ac:dyDescent="0.25">
      <c r="A55" s="11" t="s">
        <v>444</v>
      </c>
      <c r="B55" s="11" t="s">
        <v>0</v>
      </c>
      <c r="C55" s="3">
        <v>2017</v>
      </c>
      <c r="D55" s="1">
        <f>R55+F55+E55</f>
        <v>91.333333333333343</v>
      </c>
      <c r="E55" s="108">
        <f>40+12</f>
        <v>52</v>
      </c>
      <c r="F55" s="108"/>
      <c r="G55" s="122"/>
      <c r="H55" s="108"/>
      <c r="I55" s="108">
        <f>6+3</f>
        <v>9</v>
      </c>
      <c r="J55" s="108">
        <f>12</f>
        <v>12</v>
      </c>
      <c r="K55" s="108">
        <f>12+3</f>
        <v>15</v>
      </c>
      <c r="L55" s="108">
        <f>9+3</f>
        <v>12</v>
      </c>
      <c r="M55" s="108"/>
      <c r="N55" s="108">
        <v>15</v>
      </c>
      <c r="O55" s="219">
        <f>AA55</f>
        <v>49</v>
      </c>
      <c r="P55" s="122">
        <f>2</f>
        <v>2</v>
      </c>
      <c r="Q55" s="96">
        <f>AC55+I55+J55+K55+L55+M55+N55+O55</f>
        <v>112</v>
      </c>
      <c r="R55" s="97">
        <f>IF(C55=2017, Q55/3,Q55)+P55</f>
        <v>39.333333333333336</v>
      </c>
      <c r="S55" s="101"/>
      <c r="T55" s="108">
        <f>3+18</f>
        <v>21</v>
      </c>
      <c r="U55" s="108">
        <f>12</f>
        <v>12</v>
      </c>
      <c r="V55" s="108">
        <f>26</f>
        <v>26</v>
      </c>
      <c r="W55" s="108"/>
      <c r="X55" s="108">
        <f>AL55</f>
        <v>11</v>
      </c>
      <c r="Y55" s="122"/>
      <c r="Z55" s="96">
        <f>SUM(U55:X55)</f>
        <v>49</v>
      </c>
      <c r="AA55" s="97">
        <f>IF(C55=2016, Z55/3,Z55)+Y55</f>
        <v>49</v>
      </c>
      <c r="AB55" s="101"/>
      <c r="AC55" s="41"/>
      <c r="AD55" s="41"/>
      <c r="AE55" s="41"/>
      <c r="AF55" s="41"/>
      <c r="AG55" s="41">
        <f>11</f>
        <v>11</v>
      </c>
      <c r="AH55" s="41"/>
      <c r="AI55" s="41"/>
      <c r="AJ55" s="74"/>
      <c r="AK55" s="3">
        <f>SUM(AC55:AJ55)</f>
        <v>11</v>
      </c>
      <c r="AL55" s="3">
        <f>AK55</f>
        <v>11</v>
      </c>
    </row>
    <row r="56" spans="1:57" x14ac:dyDescent="0.25">
      <c r="A56" s="11" t="s">
        <v>480</v>
      </c>
      <c r="B56" s="60" t="s">
        <v>7</v>
      </c>
      <c r="C56" s="62">
        <v>2013</v>
      </c>
      <c r="D56" s="1">
        <f>R56+F56+E56</f>
        <v>0</v>
      </c>
      <c r="G56" s="120"/>
      <c r="O56" s="219">
        <f>AA56</f>
        <v>0</v>
      </c>
      <c r="P56" s="120"/>
      <c r="Q56" s="96">
        <f>AC56+I56+J56+K56+L56+M56+N56+O56</f>
        <v>0</v>
      </c>
      <c r="R56" s="97">
        <f>IF(C56=2017, Q56/3,Q56)+P56</f>
        <v>0</v>
      </c>
      <c r="S56" s="209"/>
      <c r="T56" s="209"/>
      <c r="W56" s="50">
        <f>0</f>
        <v>0</v>
      </c>
      <c r="X56" s="50">
        <f>AL56</f>
        <v>0</v>
      </c>
      <c r="Y56" s="120"/>
      <c r="Z56" s="96">
        <f>SUM(U56:X56)</f>
        <v>0</v>
      </c>
      <c r="AA56" s="97">
        <f>IF(C56=2016, Z56/3,Z56)+Y56</f>
        <v>0</v>
      </c>
      <c r="AB56" s="22"/>
      <c r="AC56" s="41"/>
      <c r="AD56" s="41"/>
      <c r="AE56" s="41"/>
      <c r="AF56" s="41"/>
      <c r="AG56" s="41"/>
      <c r="AH56" s="41">
        <f>0</f>
        <v>0</v>
      </c>
      <c r="AI56" s="13"/>
      <c r="AJ56" s="95"/>
      <c r="AK56" s="96">
        <f>SUM(AC56:AI56)</f>
        <v>0</v>
      </c>
      <c r="AL56" s="97">
        <f>IF(C56=2015, AK56/3,AK56)+AJ56</f>
        <v>0</v>
      </c>
    </row>
    <row r="57" spans="1:57" x14ac:dyDescent="0.25">
      <c r="A57" s="11" t="s">
        <v>475</v>
      </c>
      <c r="B57" s="60" t="s">
        <v>7</v>
      </c>
      <c r="C57" s="62">
        <v>2014</v>
      </c>
      <c r="D57" s="1">
        <f>R57+F57+E57</f>
        <v>42</v>
      </c>
      <c r="G57" s="120"/>
      <c r="O57" s="219">
        <f>AA57</f>
        <v>42</v>
      </c>
      <c r="P57" s="120"/>
      <c r="Q57" s="96">
        <f>AC57+I57+J57+K57+L57+M57+N57+O57</f>
        <v>42</v>
      </c>
      <c r="R57" s="97">
        <f>IF(C57=2017, Q57/3,Q57)+P57</f>
        <v>42</v>
      </c>
      <c r="S57" s="209"/>
      <c r="T57" s="209"/>
      <c r="U57" s="50">
        <f>0</f>
        <v>0</v>
      </c>
      <c r="V57" s="50">
        <f>6</f>
        <v>6</v>
      </c>
      <c r="W57" s="50">
        <f>13</f>
        <v>13</v>
      </c>
      <c r="X57" s="50">
        <f>AL57</f>
        <v>23</v>
      </c>
      <c r="Y57" s="120"/>
      <c r="Z57" s="96">
        <f>SUM(U57:X57)</f>
        <v>42</v>
      </c>
      <c r="AA57" s="97">
        <f>IF(C57=2016, Z57/3,Z57)+Y57</f>
        <v>42</v>
      </c>
      <c r="AB57" s="22"/>
      <c r="AC57" s="41"/>
      <c r="AD57" s="67"/>
      <c r="AE57" s="41"/>
      <c r="AF57" s="41"/>
      <c r="AG57" s="41"/>
      <c r="AH57" s="41">
        <f>23</f>
        <v>23</v>
      </c>
      <c r="AI57" s="13"/>
      <c r="AJ57" s="95"/>
      <c r="AK57" s="96">
        <f>SUM(AC57:AI57)</f>
        <v>23</v>
      </c>
      <c r="AL57" s="97">
        <f>IF(C57=2015, AK57/3,AK57)+AJ57</f>
        <v>23</v>
      </c>
    </row>
    <row r="58" spans="1:57" x14ac:dyDescent="0.25">
      <c r="A58" s="71" t="s">
        <v>253</v>
      </c>
      <c r="B58" s="71" t="s">
        <v>232</v>
      </c>
      <c r="C58" s="72">
        <v>2013</v>
      </c>
      <c r="D58" s="1">
        <f>R58+F58+E58</f>
        <v>0</v>
      </c>
      <c r="G58" s="120"/>
      <c r="I58" s="219"/>
      <c r="J58" s="219"/>
      <c r="K58" s="219"/>
      <c r="L58" s="219"/>
      <c r="M58" s="219"/>
      <c r="N58" s="219"/>
      <c r="O58" s="219">
        <f>AA58</f>
        <v>0</v>
      </c>
      <c r="P58" s="120"/>
      <c r="Q58" s="96">
        <f>AC58+I58+J58+K58+L58+M58+N58+O58</f>
        <v>0</v>
      </c>
      <c r="R58" s="97">
        <f>IF(C58=2017, Q58/3,Q58)+P58</f>
        <v>0</v>
      </c>
      <c r="S58" s="222"/>
      <c r="T58" s="222"/>
      <c r="U58" s="219"/>
      <c r="V58" s="219"/>
      <c r="W58" s="219"/>
      <c r="X58" s="219">
        <f>AL58</f>
        <v>0</v>
      </c>
      <c r="Y58" s="120"/>
      <c r="Z58" s="96">
        <f>SUM(U58:X58)</f>
        <v>0</v>
      </c>
      <c r="AA58" s="97">
        <f>IF(C58=2016, Z58/3,Z58)+Y58</f>
        <v>0</v>
      </c>
      <c r="AB58" s="22"/>
      <c r="AC58" s="219"/>
      <c r="AD58" s="219"/>
      <c r="AE58" s="219">
        <f>0</f>
        <v>0</v>
      </c>
      <c r="AF58" s="219"/>
      <c r="AG58" s="219"/>
      <c r="AH58" s="219"/>
      <c r="AJ58" s="95"/>
      <c r="AK58" s="96">
        <f>SUM(AC58:AI58)</f>
        <v>0</v>
      </c>
      <c r="AL58" s="97">
        <f>IF(C58=2015, AK58/3,AK58)+AJ58</f>
        <v>0</v>
      </c>
    </row>
    <row r="59" spans="1:57" x14ac:dyDescent="0.25">
      <c r="A59" s="11" t="s">
        <v>857</v>
      </c>
      <c r="B59" s="60" t="s">
        <v>7</v>
      </c>
      <c r="C59" s="62">
        <v>2015</v>
      </c>
      <c r="D59" s="1">
        <f>R59+F59+E59</f>
        <v>99</v>
      </c>
      <c r="G59" s="154"/>
      <c r="I59" s="219">
        <f>31</f>
        <v>31</v>
      </c>
      <c r="J59" s="219">
        <f>24+1</f>
        <v>25</v>
      </c>
      <c r="K59" s="219"/>
      <c r="L59" s="219">
        <f>43</f>
        <v>43</v>
      </c>
      <c r="M59" s="219">
        <f>0</f>
        <v>0</v>
      </c>
      <c r="N59" s="219"/>
      <c r="O59" s="219">
        <f>AA59</f>
        <v>0</v>
      </c>
      <c r="P59" s="154"/>
      <c r="Q59" s="96">
        <f>AC59+I59+J59+K59+L59+M59+N59+O59</f>
        <v>99</v>
      </c>
      <c r="R59" s="97">
        <f>IF(C59=2017, Q59/3,Q59)+P59</f>
        <v>99</v>
      </c>
      <c r="S59" s="209"/>
      <c r="T59" s="209"/>
      <c r="U59" s="219"/>
      <c r="V59" s="219"/>
      <c r="W59" s="219"/>
      <c r="X59" s="219"/>
      <c r="Y59" s="120"/>
      <c r="Z59" s="96">
        <f>SUM(U59:X59)</f>
        <v>0</v>
      </c>
      <c r="AA59" s="97">
        <f>IF(C59=2016, Z59/3,Z59)+Y59</f>
        <v>0</v>
      </c>
      <c r="AB59" s="22"/>
      <c r="AC59" s="153"/>
      <c r="AD59" s="153"/>
      <c r="AE59" s="153"/>
      <c r="AF59" s="153"/>
      <c r="AG59" s="153"/>
      <c r="AH59" s="153"/>
      <c r="AI59" s="13"/>
      <c r="AJ59" s="95"/>
      <c r="AK59" s="96"/>
      <c r="AL59" s="97"/>
    </row>
    <row r="60" spans="1:57" x14ac:dyDescent="0.25">
      <c r="A60" s="71" t="s">
        <v>627</v>
      </c>
      <c r="B60" s="71" t="s">
        <v>602</v>
      </c>
      <c r="C60" s="72"/>
      <c r="D60" s="1">
        <f>R60+F60+E60</f>
        <v>21</v>
      </c>
      <c r="G60" s="154"/>
      <c r="L60" s="174"/>
      <c r="M60" s="174"/>
      <c r="N60" s="174"/>
      <c r="O60" s="219">
        <f>AA60</f>
        <v>21</v>
      </c>
      <c r="P60" s="154"/>
      <c r="Q60" s="96">
        <f>AC60+I60+J60+K60+L60+M60+N60+O60</f>
        <v>21</v>
      </c>
      <c r="R60" s="97">
        <f>IF(C60=2017, Q60/3,Q60)+P60</f>
        <v>21</v>
      </c>
      <c r="S60" s="209"/>
      <c r="T60" s="209"/>
      <c r="V60" s="50">
        <f>21</f>
        <v>21</v>
      </c>
      <c r="Y60" s="120"/>
      <c r="Z60" s="96">
        <f>SUM(U60:X60)</f>
        <v>21</v>
      </c>
      <c r="AA60" s="97">
        <f>IF(C60=2016, Z60/3,Z60)+Y60</f>
        <v>21</v>
      </c>
      <c r="AB60" s="22"/>
      <c r="AC60" s="237"/>
      <c r="AD60" s="237"/>
      <c r="AE60" s="237"/>
      <c r="AF60" s="237"/>
      <c r="AG60" s="237"/>
      <c r="AH60" s="237"/>
      <c r="AI60" s="240"/>
      <c r="AJ60" s="95"/>
      <c r="AK60" s="96">
        <f>SUM(AC60:AI60)</f>
        <v>0</v>
      </c>
      <c r="AL60" s="97">
        <f>IF(C60=2015, AK60/3,AK60)+AJ60</f>
        <v>0</v>
      </c>
    </row>
    <row r="61" spans="1:57" x14ac:dyDescent="0.25">
      <c r="A61" s="11" t="s">
        <v>132</v>
      </c>
      <c r="B61" s="60" t="s">
        <v>64</v>
      </c>
      <c r="C61" s="62">
        <v>2013</v>
      </c>
      <c r="D61" s="1">
        <f>R61+F61+E61</f>
        <v>8</v>
      </c>
      <c r="G61" s="120"/>
      <c r="J61" s="205"/>
      <c r="K61" s="205"/>
      <c r="L61" s="205"/>
      <c r="M61" s="205"/>
      <c r="N61" s="205"/>
      <c r="O61" s="219">
        <f>AA61</f>
        <v>8</v>
      </c>
      <c r="P61" s="120"/>
      <c r="Q61" s="96">
        <f>AC61+I61+J61+K61+L61+M61+N61+O61</f>
        <v>8</v>
      </c>
      <c r="R61" s="97">
        <f>IF(C61=2017, Q61/3,Q61)+P61</f>
        <v>8</v>
      </c>
      <c r="S61" s="209"/>
      <c r="T61" s="209"/>
      <c r="U61" s="191"/>
      <c r="V61" s="191"/>
      <c r="W61" s="191"/>
      <c r="X61" s="191">
        <f>AL61</f>
        <v>8</v>
      </c>
      <c r="Y61" s="120"/>
      <c r="Z61" s="96">
        <f>SUM(U61:X61)</f>
        <v>8</v>
      </c>
      <c r="AA61" s="97">
        <f>IF(C61=2016, Z61/3,Z61)+Y61</f>
        <v>8</v>
      </c>
      <c r="AB61" s="22"/>
      <c r="AC61" s="41"/>
      <c r="AD61" s="41">
        <v>8</v>
      </c>
      <c r="AE61" s="41">
        <f>0</f>
        <v>0</v>
      </c>
      <c r="AF61" s="41"/>
      <c r="AG61" s="41"/>
      <c r="AH61" s="41"/>
      <c r="AI61" s="13"/>
      <c r="AJ61" s="157"/>
      <c r="AK61" s="96">
        <f>SUM(AC61:AI61)</f>
        <v>8</v>
      </c>
      <c r="AL61" s="97">
        <f>IF(C61=2015, AK61/3,AK61)+AJ61</f>
        <v>8</v>
      </c>
    </row>
    <row r="62" spans="1:57" x14ac:dyDescent="0.25">
      <c r="A62" s="11" t="s">
        <v>836</v>
      </c>
      <c r="B62" s="60" t="s">
        <v>479</v>
      </c>
      <c r="C62" s="62">
        <v>2015</v>
      </c>
      <c r="D62" s="1">
        <f>R62+F62+E62</f>
        <v>19</v>
      </c>
      <c r="E62" s="237"/>
      <c r="F62" s="237"/>
      <c r="G62" s="154"/>
      <c r="H62" s="237"/>
      <c r="I62" s="237"/>
      <c r="J62" s="237"/>
      <c r="K62" s="237"/>
      <c r="L62" s="237"/>
      <c r="M62" s="237">
        <f>18+1</f>
        <v>19</v>
      </c>
      <c r="N62" s="237"/>
      <c r="O62" s="219">
        <f>AA62</f>
        <v>0</v>
      </c>
      <c r="P62" s="154"/>
      <c r="Q62" s="96">
        <f>AC62+I62+J62+K62+L62+M62+N62+O62</f>
        <v>19</v>
      </c>
      <c r="R62" s="97">
        <f>IF(C62=2017, Q62/3,Q62)+P62</f>
        <v>19</v>
      </c>
      <c r="S62" s="238"/>
      <c r="T62" s="238"/>
      <c r="U62" s="237"/>
      <c r="V62" s="237"/>
      <c r="W62" s="237"/>
      <c r="X62" s="237"/>
      <c r="Y62" s="120"/>
      <c r="Z62" s="96">
        <f>SUM(U62:X62)</f>
        <v>0</v>
      </c>
      <c r="AA62" s="97">
        <f>IF(C62=2016, Z62/3,Z62)+Y62</f>
        <v>0</v>
      </c>
      <c r="AB62" s="22"/>
      <c r="AC62" s="153"/>
      <c r="AD62" s="153"/>
      <c r="AE62" s="153"/>
      <c r="AF62" s="153"/>
      <c r="AG62" s="153"/>
      <c r="AH62" s="153"/>
      <c r="AI62" s="13"/>
      <c r="AJ62" s="95"/>
      <c r="AK62" s="96"/>
      <c r="AL62" s="97"/>
    </row>
    <row r="63" spans="1:57" x14ac:dyDescent="0.25">
      <c r="A63" s="11" t="s">
        <v>124</v>
      </c>
      <c r="B63" s="60" t="s">
        <v>64</v>
      </c>
      <c r="C63" s="62"/>
      <c r="D63" s="1">
        <f>R63+F63+E63</f>
        <v>20</v>
      </c>
      <c r="E63" s="237"/>
      <c r="F63" s="237"/>
      <c r="G63" s="120"/>
      <c r="H63" s="237"/>
      <c r="I63" s="237"/>
      <c r="J63" s="237"/>
      <c r="K63" s="237"/>
      <c r="L63" s="237"/>
      <c r="M63" s="237"/>
      <c r="N63" s="237"/>
      <c r="O63" s="219">
        <f>AA63</f>
        <v>20</v>
      </c>
      <c r="P63" s="120"/>
      <c r="Q63" s="96">
        <f>AC63+I63+J63+K63+L63+M63+N63+O63</f>
        <v>20</v>
      </c>
      <c r="R63" s="97">
        <f>IF(C63=2017, Q63/3,Q63)+P63</f>
        <v>20</v>
      </c>
      <c r="S63" s="209"/>
      <c r="T63" s="209"/>
      <c r="U63" s="237"/>
      <c r="V63" s="237"/>
      <c r="W63" s="237"/>
      <c r="X63" s="237">
        <f>AL63</f>
        <v>20</v>
      </c>
      <c r="Y63" s="120"/>
      <c r="Z63" s="96">
        <f>SUM(U63:X63)</f>
        <v>20</v>
      </c>
      <c r="AA63" s="97">
        <f>IF(C63=2016, Z63/3,Z63)+Y63</f>
        <v>20</v>
      </c>
      <c r="AB63" s="22"/>
      <c r="AC63" s="41"/>
      <c r="AD63" s="41">
        <v>20</v>
      </c>
      <c r="AE63" s="41"/>
      <c r="AF63" s="41"/>
      <c r="AG63" s="41"/>
      <c r="AH63" s="41"/>
      <c r="AI63" s="13"/>
      <c r="AJ63" s="95"/>
      <c r="AK63" s="96">
        <f>SUM(AC63:AI63)</f>
        <v>20</v>
      </c>
      <c r="AL63" s="97">
        <f>IF(C63=2015, AK63/3,AK63)+AJ63</f>
        <v>20</v>
      </c>
    </row>
    <row r="64" spans="1:57" x14ac:dyDescent="0.25">
      <c r="A64" s="11" t="s">
        <v>451</v>
      </c>
      <c r="B64" s="11" t="s">
        <v>63</v>
      </c>
      <c r="C64" s="3">
        <v>2017</v>
      </c>
      <c r="D64" s="1">
        <f>R64+F64+E64</f>
        <v>0</v>
      </c>
      <c r="E64" s="108"/>
      <c r="F64" s="108"/>
      <c r="G64" s="122"/>
      <c r="H64" s="108"/>
      <c r="I64" s="108"/>
      <c r="J64" s="108"/>
      <c r="K64" s="108"/>
      <c r="L64" s="108"/>
      <c r="M64" s="108"/>
      <c r="N64" s="108"/>
      <c r="O64" s="219">
        <f>AA64</f>
        <v>0</v>
      </c>
      <c r="P64" s="122"/>
      <c r="Q64" s="96">
        <f>AC64+I64+J64+K64+L64+M64+N64+O64</f>
        <v>0</v>
      </c>
      <c r="R64" s="97">
        <f>IF(C64=2017, Q64/3,Q64)+P64</f>
        <v>0</v>
      </c>
      <c r="S64" s="101"/>
      <c r="T64" s="108"/>
      <c r="U64" s="108"/>
      <c r="V64" s="108"/>
      <c r="W64" s="108"/>
      <c r="X64" s="108">
        <f>AL64</f>
        <v>0</v>
      </c>
      <c r="Y64" s="122"/>
      <c r="Z64" s="96">
        <f>SUM(U64:X64)</f>
        <v>0</v>
      </c>
      <c r="AA64" s="97">
        <f>IF(C64=2016, Z64/3,Z64)+Y64</f>
        <v>0</v>
      </c>
      <c r="AB64" s="101"/>
      <c r="AC64" s="41"/>
      <c r="AD64" s="41"/>
      <c r="AE64" s="41"/>
      <c r="AF64" s="41"/>
      <c r="AG64" s="41">
        <f>0</f>
        <v>0</v>
      </c>
      <c r="AH64" s="41"/>
      <c r="AI64" s="41"/>
      <c r="AK64" s="3">
        <f>SUM(AC64:AJ64)</f>
        <v>0</v>
      </c>
      <c r="AL64" s="3">
        <f>AK64</f>
        <v>0</v>
      </c>
    </row>
    <row r="65" spans="1:38" x14ac:dyDescent="0.25">
      <c r="A65" s="11" t="s">
        <v>425</v>
      </c>
      <c r="B65" s="11" t="s">
        <v>0</v>
      </c>
      <c r="C65" s="3">
        <v>2016</v>
      </c>
      <c r="D65" s="1">
        <f>R65+F65+E65</f>
        <v>40.666666666666671</v>
      </c>
      <c r="E65" s="156"/>
      <c r="F65" s="156"/>
      <c r="G65" s="122"/>
      <c r="H65" s="156"/>
      <c r="I65" s="156">
        <f>0</f>
        <v>0</v>
      </c>
      <c r="J65" s="156">
        <f>0+10</f>
        <v>10</v>
      </c>
      <c r="K65" s="156">
        <f>0+2</f>
        <v>2</v>
      </c>
      <c r="L65" s="156"/>
      <c r="M65" s="156"/>
      <c r="N65" s="156"/>
      <c r="O65" s="219">
        <f>AA65</f>
        <v>28.666666666666668</v>
      </c>
      <c r="P65" s="122"/>
      <c r="Q65" s="96">
        <f>AC65+I65+J65+K65+L65+M65+N65+O65</f>
        <v>40.666666666666671</v>
      </c>
      <c r="R65" s="97">
        <f>IF(C65=2017, Q65/3,Q65)+P65</f>
        <v>40.666666666666671</v>
      </c>
      <c r="S65" s="209"/>
      <c r="T65" s="209"/>
      <c r="U65" s="108">
        <f>24+6</f>
        <v>30</v>
      </c>
      <c r="V65" s="108">
        <f>27+12</f>
        <v>39</v>
      </c>
      <c r="W65" s="108">
        <f>6</f>
        <v>6</v>
      </c>
      <c r="X65" s="108">
        <f>AL65</f>
        <v>11</v>
      </c>
      <c r="Y65" s="122"/>
      <c r="Z65" s="96">
        <f>SUM(U65:X65)</f>
        <v>86</v>
      </c>
      <c r="AA65" s="97">
        <f>IF(C65=2016, Z65/3,Z65)+Y65</f>
        <v>28.666666666666668</v>
      </c>
      <c r="AB65" s="101"/>
      <c r="AC65" s="41"/>
      <c r="AD65" s="41"/>
      <c r="AE65" s="41"/>
      <c r="AF65" s="41"/>
      <c r="AG65" s="41">
        <f>11</f>
        <v>11</v>
      </c>
      <c r="AH65" s="41"/>
      <c r="AI65" s="41"/>
      <c r="AK65" s="96">
        <f>SUM(AC65:AI65)</f>
        <v>11</v>
      </c>
      <c r="AL65" s="97">
        <f>IF(C65=2015, AK65/3,AK65)+AJ65</f>
        <v>11</v>
      </c>
    </row>
    <row r="66" spans="1:38" x14ac:dyDescent="0.25">
      <c r="A66" s="11" t="s">
        <v>257</v>
      </c>
      <c r="B66" s="60" t="s">
        <v>64</v>
      </c>
      <c r="C66" s="62">
        <v>2013</v>
      </c>
      <c r="D66" s="1">
        <f>R66+F66+E66</f>
        <v>167</v>
      </c>
      <c r="E66" s="237"/>
      <c r="F66" s="237"/>
      <c r="G66" s="120"/>
      <c r="H66" s="237"/>
      <c r="I66" s="237"/>
      <c r="J66" s="237"/>
      <c r="K66" s="237"/>
      <c r="L66" s="237">
        <f>0+9+6</f>
        <v>15</v>
      </c>
      <c r="M66" s="237">
        <f>27+18</f>
        <v>45</v>
      </c>
      <c r="N66" s="237">
        <f>18</f>
        <v>18</v>
      </c>
      <c r="O66" s="219">
        <f>AA66</f>
        <v>89</v>
      </c>
      <c r="P66" s="120"/>
      <c r="Q66" s="96">
        <f>AC66+I66+J66+K66+L66+M66+N66+O66</f>
        <v>167</v>
      </c>
      <c r="R66" s="97">
        <f>IF(C66=2017, Q66/3,Q66)+P66</f>
        <v>167</v>
      </c>
      <c r="S66" s="209"/>
      <c r="T66" s="209"/>
      <c r="U66" s="219">
        <f>0</f>
        <v>0</v>
      </c>
      <c r="V66" s="219">
        <f>21</f>
        <v>21</v>
      </c>
      <c r="W66" s="219">
        <f>18+6</f>
        <v>24</v>
      </c>
      <c r="X66" s="219">
        <f>AL66</f>
        <v>44</v>
      </c>
      <c r="Y66" s="120"/>
      <c r="Z66" s="96">
        <f>SUM(U66:X66)</f>
        <v>89</v>
      </c>
      <c r="AA66" s="97">
        <f>IF(C66=2016, Z66/3,Z66)+Y66</f>
        <v>89</v>
      </c>
      <c r="AB66" s="22"/>
      <c r="AC66" s="41"/>
      <c r="AD66" s="41"/>
      <c r="AE66" s="41">
        <f>23+3</f>
        <v>26</v>
      </c>
      <c r="AF66" s="41">
        <f>18</f>
        <v>18</v>
      </c>
      <c r="AG66" s="41"/>
      <c r="AH66" s="41"/>
      <c r="AI66" s="13"/>
      <c r="AJ66" s="95"/>
      <c r="AK66" s="96">
        <f>SUM(AC66:AI66)</f>
        <v>44</v>
      </c>
      <c r="AL66" s="97">
        <f>IF(C66=2015, AK66/3,AK66)+AJ66</f>
        <v>44</v>
      </c>
    </row>
    <row r="67" spans="1:38" x14ac:dyDescent="0.25">
      <c r="A67" s="11" t="s">
        <v>294</v>
      </c>
      <c r="B67" s="11" t="s">
        <v>232</v>
      </c>
      <c r="C67" s="3">
        <v>2015</v>
      </c>
      <c r="D67" s="1">
        <f>R67+F67+E67</f>
        <v>16</v>
      </c>
      <c r="E67" s="237"/>
      <c r="F67" s="237"/>
      <c r="G67" s="120"/>
      <c r="H67" s="237"/>
      <c r="I67" s="237"/>
      <c r="J67" s="237"/>
      <c r="K67" s="237"/>
      <c r="L67" s="237"/>
      <c r="M67" s="237"/>
      <c r="N67" s="237"/>
      <c r="O67" s="219">
        <f>AA67</f>
        <v>16</v>
      </c>
      <c r="P67" s="120"/>
      <c r="Q67" s="96">
        <f>AC67+I67+J67+K67+L67+M67+N67+O67</f>
        <v>16</v>
      </c>
      <c r="R67" s="97">
        <f>IF(C67=2017, Q67/3,Q67)+P67</f>
        <v>16</v>
      </c>
      <c r="S67" s="209"/>
      <c r="T67" s="209"/>
      <c r="X67" s="50">
        <f>AL67</f>
        <v>16</v>
      </c>
      <c r="Y67" s="120"/>
      <c r="Z67" s="96">
        <f>SUM(U67:X67)</f>
        <v>16</v>
      </c>
      <c r="AA67" s="97">
        <f>IF(C67=2016, Z67/3,Z67)+Y67</f>
        <v>16</v>
      </c>
      <c r="AB67" s="101"/>
      <c r="AC67" s="41"/>
      <c r="AD67" s="41"/>
      <c r="AE67" s="41"/>
      <c r="AF67" s="41">
        <f>48</f>
        <v>48</v>
      </c>
      <c r="AG67" s="41"/>
      <c r="AH67" s="41"/>
      <c r="AI67" s="41"/>
      <c r="AJ67" s="95"/>
      <c r="AK67" s="96">
        <f>SUM(AC67:AI67)</f>
        <v>48</v>
      </c>
      <c r="AL67" s="97">
        <f>IF(C67=2015, AK67/3,AK67)+AJ67</f>
        <v>16</v>
      </c>
    </row>
    <row r="68" spans="1:38" x14ac:dyDescent="0.25">
      <c r="A68" s="11" t="s">
        <v>630</v>
      </c>
      <c r="B68" s="11" t="s">
        <v>602</v>
      </c>
      <c r="D68" s="1">
        <f>R68+F68+E68</f>
        <v>21</v>
      </c>
      <c r="E68" s="156"/>
      <c r="F68" s="156"/>
      <c r="G68" s="154"/>
      <c r="H68" s="156"/>
      <c r="I68" s="156"/>
      <c r="J68" s="156"/>
      <c r="K68" s="156"/>
      <c r="L68" s="156"/>
      <c r="M68" s="156"/>
      <c r="N68" s="156"/>
      <c r="O68" s="219">
        <f>AA68</f>
        <v>21</v>
      </c>
      <c r="P68" s="154"/>
      <c r="Q68" s="96">
        <f>AC68+I68+J68+K68+L68+M68+N68+O68</f>
        <v>21</v>
      </c>
      <c r="R68" s="97">
        <f>IF(C68=2017, Q68/3,Q68)+P68</f>
        <v>21</v>
      </c>
      <c r="S68" s="209"/>
      <c r="T68" s="209"/>
      <c r="V68" s="50">
        <f>21</f>
        <v>21</v>
      </c>
      <c r="Y68" s="120"/>
      <c r="Z68" s="96">
        <f>SUM(U68:X68)</f>
        <v>21</v>
      </c>
      <c r="AA68" s="97">
        <f>IF(C68=2016, Z68/3,Z68)+Y68</f>
        <v>21</v>
      </c>
      <c r="AB68" s="101"/>
      <c r="AC68" s="153"/>
      <c r="AD68" s="153"/>
      <c r="AE68" s="153"/>
      <c r="AF68" s="153"/>
      <c r="AG68" s="153"/>
      <c r="AH68" s="153"/>
      <c r="AI68" s="153"/>
      <c r="AJ68" s="95"/>
      <c r="AK68" s="96">
        <f>SUM(AC68:AI68)</f>
        <v>0</v>
      </c>
      <c r="AL68" s="97">
        <f>IF(C68=2015, AK68/3,AK68)+AJ68</f>
        <v>0</v>
      </c>
    </row>
    <row r="69" spans="1:38" x14ac:dyDescent="0.25">
      <c r="A69" s="11" t="s">
        <v>732</v>
      </c>
      <c r="B69" s="11" t="s">
        <v>63</v>
      </c>
      <c r="C69" s="3">
        <v>2013</v>
      </c>
      <c r="D69" s="1">
        <f>R69+F69+E69</f>
        <v>138</v>
      </c>
      <c r="E69" s="156"/>
      <c r="F69" s="156"/>
      <c r="G69" s="154"/>
      <c r="H69" s="156"/>
      <c r="I69" s="156">
        <f>14+4</f>
        <v>18</v>
      </c>
      <c r="J69" s="156">
        <f>0</f>
        <v>0</v>
      </c>
      <c r="K69" s="156">
        <f>6</f>
        <v>6</v>
      </c>
      <c r="L69" s="156">
        <f>40+10</f>
        <v>50</v>
      </c>
      <c r="M69" s="156">
        <f>34+6+1</f>
        <v>41</v>
      </c>
      <c r="N69" s="156">
        <f>23</f>
        <v>23</v>
      </c>
      <c r="O69" s="219">
        <f>AA69</f>
        <v>0</v>
      </c>
      <c r="P69" s="154"/>
      <c r="Q69" s="96">
        <f>AC69+I69+J69+K69+L69+M69+N69+O69</f>
        <v>138</v>
      </c>
      <c r="R69" s="97">
        <f>IF(C69=2017, Q69/3,Q69)+P69</f>
        <v>138</v>
      </c>
      <c r="S69" s="209"/>
      <c r="T69" s="209"/>
      <c r="Y69" s="120"/>
      <c r="Z69" s="96">
        <f>SUM(U69:X69)</f>
        <v>0</v>
      </c>
      <c r="AA69" s="97">
        <f>IF(C69=2016, Z69/3,Z69)+Y69</f>
        <v>0</v>
      </c>
      <c r="AB69" s="101"/>
      <c r="AC69" s="153"/>
      <c r="AD69" s="153"/>
      <c r="AE69" s="153"/>
      <c r="AF69" s="153"/>
      <c r="AG69" s="153"/>
      <c r="AH69" s="153"/>
      <c r="AI69" s="153"/>
      <c r="AJ69" s="95"/>
      <c r="AK69" s="96">
        <f>SUM(AC69:AI69)</f>
        <v>0</v>
      </c>
      <c r="AL69" s="97">
        <f>IF(C69=2015, AK69/3,AK69)+AJ69</f>
        <v>0</v>
      </c>
    </row>
    <row r="70" spans="1:38" x14ac:dyDescent="0.25">
      <c r="A70" s="11" t="s">
        <v>313</v>
      </c>
      <c r="B70" s="60" t="s">
        <v>0</v>
      </c>
      <c r="C70" s="62">
        <v>2014</v>
      </c>
      <c r="D70" s="1">
        <f>R70+F70+E70</f>
        <v>26</v>
      </c>
      <c r="E70" s="237"/>
      <c r="F70" s="237"/>
      <c r="G70" s="120"/>
      <c r="H70" s="237"/>
      <c r="I70" s="237"/>
      <c r="J70" s="237"/>
      <c r="K70" s="237"/>
      <c r="L70" s="237"/>
      <c r="M70" s="237"/>
      <c r="N70" s="237"/>
      <c r="O70" s="219">
        <f>AA70</f>
        <v>26</v>
      </c>
      <c r="P70" s="120"/>
      <c r="Q70" s="96">
        <f>AC70+I70+J70+K70+L70+M70+N70+O70</f>
        <v>26</v>
      </c>
      <c r="R70" s="97">
        <f>IF(C70=2017, Q70/3,Q70)+P70</f>
        <v>26</v>
      </c>
      <c r="S70" s="209"/>
      <c r="T70" s="209"/>
      <c r="U70" s="237">
        <f>8</f>
        <v>8</v>
      </c>
      <c r="V70" s="237"/>
      <c r="W70" s="237"/>
      <c r="X70" s="237">
        <f>AL70</f>
        <v>18</v>
      </c>
      <c r="Y70" s="120"/>
      <c r="Z70" s="96">
        <f>SUM(U70:X70)</f>
        <v>26</v>
      </c>
      <c r="AA70" s="97">
        <f>IF(C70=2016, Z70/3,Z70)+Y70</f>
        <v>26</v>
      </c>
      <c r="AB70" s="22"/>
      <c r="AC70" s="41"/>
      <c r="AD70" s="41"/>
      <c r="AE70" s="41"/>
      <c r="AF70" s="41">
        <f>16</f>
        <v>16</v>
      </c>
      <c r="AG70" s="41">
        <f>0</f>
        <v>0</v>
      </c>
      <c r="AH70" s="41">
        <f>2</f>
        <v>2</v>
      </c>
      <c r="AI70" s="13"/>
      <c r="AJ70" s="95"/>
      <c r="AK70" s="96">
        <f>SUM(AC70:AI70)</f>
        <v>18</v>
      </c>
      <c r="AL70" s="97">
        <f>IF(C70=2015, AK70/3,AK70)+AJ70</f>
        <v>18</v>
      </c>
    </row>
    <row r="71" spans="1:38" ht="14.25" customHeight="1" x14ac:dyDescent="0.25">
      <c r="A71" s="11" t="s">
        <v>418</v>
      </c>
      <c r="B71" s="60" t="s">
        <v>63</v>
      </c>
      <c r="C71" s="62">
        <v>2014</v>
      </c>
      <c r="D71" s="1">
        <f>R71+F71+E71</f>
        <v>0</v>
      </c>
      <c r="G71" s="120"/>
      <c r="O71" s="219">
        <f>AA71</f>
        <v>0</v>
      </c>
      <c r="P71" s="120"/>
      <c r="Q71" s="96">
        <f>AC71+I71+J71+K71+L71+M71+N71+O71</f>
        <v>0</v>
      </c>
      <c r="R71" s="97">
        <f>IF(C71=2017, Q71/3,Q71)+P71</f>
        <v>0</v>
      </c>
      <c r="S71" s="209"/>
      <c r="T71" s="209"/>
      <c r="X71" s="50">
        <f>AL71</f>
        <v>0</v>
      </c>
      <c r="Y71" s="120"/>
      <c r="Z71" s="96">
        <f>SUM(U71:X71)</f>
        <v>0</v>
      </c>
      <c r="AA71" s="97">
        <f>IF(C71=2016, Z71/3,Z71)+Y71</f>
        <v>0</v>
      </c>
      <c r="AB71" s="22"/>
      <c r="AC71" s="41"/>
      <c r="AD71" s="41"/>
      <c r="AE71" s="41"/>
      <c r="AF71" s="41"/>
      <c r="AG71" s="41">
        <f>0</f>
        <v>0</v>
      </c>
      <c r="AH71" s="41"/>
      <c r="AI71" s="13"/>
      <c r="AJ71" s="95"/>
      <c r="AK71" s="96">
        <f>SUM(AC71:AI71)</f>
        <v>0</v>
      </c>
      <c r="AL71" s="97">
        <f>IF(C71=2015, AK71/3,AK71)+AJ71</f>
        <v>0</v>
      </c>
    </row>
    <row r="72" spans="1:38" x14ac:dyDescent="0.25">
      <c r="A72" s="11" t="s">
        <v>430</v>
      </c>
      <c r="B72" s="11" t="s">
        <v>36</v>
      </c>
      <c r="C72" s="3">
        <v>2016</v>
      </c>
      <c r="D72" s="1">
        <f>R72+F72+E72</f>
        <v>7</v>
      </c>
      <c r="E72" s="156"/>
      <c r="F72" s="156"/>
      <c r="G72" s="122"/>
      <c r="H72" s="156"/>
      <c r="I72" s="156"/>
      <c r="J72" s="156"/>
      <c r="K72" s="156"/>
      <c r="L72" s="156"/>
      <c r="M72" s="156"/>
      <c r="N72" s="156"/>
      <c r="O72" s="219">
        <f>AA72</f>
        <v>7</v>
      </c>
      <c r="P72" s="122"/>
      <c r="Q72" s="96">
        <f>AC72+I72+J72+K72+L72+M72+N72+O72</f>
        <v>7</v>
      </c>
      <c r="R72" s="97">
        <f>IF(C72=2017, Q72/3,Q72)+P72</f>
        <v>7</v>
      </c>
      <c r="S72" s="222"/>
      <c r="T72" s="222"/>
      <c r="U72" s="108">
        <f>0</f>
        <v>0</v>
      </c>
      <c r="V72" s="108">
        <f>12</f>
        <v>12</v>
      </c>
      <c r="W72" s="108">
        <f>0</f>
        <v>0</v>
      </c>
      <c r="X72" s="108">
        <f>AL72</f>
        <v>9</v>
      </c>
      <c r="Y72" s="122"/>
      <c r="Z72" s="96">
        <f>SUM(U72:X72)</f>
        <v>21</v>
      </c>
      <c r="AA72" s="97">
        <f>IF(C72=2016, Z72/3,Z72)+Y72</f>
        <v>7</v>
      </c>
      <c r="AB72" s="101"/>
      <c r="AC72" s="41"/>
      <c r="AD72" s="41"/>
      <c r="AE72" s="41"/>
      <c r="AF72" s="41"/>
      <c r="AG72" s="41">
        <f>6</f>
        <v>6</v>
      </c>
      <c r="AH72" s="41">
        <f>3</f>
        <v>3</v>
      </c>
      <c r="AI72" s="41"/>
      <c r="AJ72" s="193"/>
      <c r="AK72" s="96">
        <f>SUM(AC72:AI72)</f>
        <v>9</v>
      </c>
      <c r="AL72" s="97">
        <f>IF(C72=2015, AK72/3,AK72)+AJ72</f>
        <v>9</v>
      </c>
    </row>
    <row r="73" spans="1:38" x14ac:dyDescent="0.25">
      <c r="A73" s="11" t="s">
        <v>311</v>
      </c>
      <c r="B73" s="60" t="s">
        <v>0</v>
      </c>
      <c r="C73" s="62">
        <v>2014</v>
      </c>
      <c r="D73" s="1">
        <f>R73+F73+E73</f>
        <v>96</v>
      </c>
      <c r="E73" s="237"/>
      <c r="F73" s="237"/>
      <c r="G73" s="120"/>
      <c r="H73" s="237"/>
      <c r="I73" s="237"/>
      <c r="J73" s="237"/>
      <c r="K73" s="237"/>
      <c r="L73" s="237"/>
      <c r="M73" s="237"/>
      <c r="N73" s="237"/>
      <c r="O73" s="219">
        <f>AA73</f>
        <v>96</v>
      </c>
      <c r="P73" s="120"/>
      <c r="Q73" s="96">
        <f>AC73+I73+J73+K73+L73+M73+N73+O73</f>
        <v>96</v>
      </c>
      <c r="R73" s="97">
        <f>IF(C73=2017, Q73/3,Q73)+P73</f>
        <v>96</v>
      </c>
      <c r="S73" s="209"/>
      <c r="T73" s="209"/>
      <c r="U73" s="219">
        <f>8</f>
        <v>8</v>
      </c>
      <c r="V73" s="219">
        <f>6</f>
        <v>6</v>
      </c>
      <c r="W73" s="219">
        <f>18</f>
        <v>18</v>
      </c>
      <c r="X73" s="219">
        <f>AL73</f>
        <v>64</v>
      </c>
      <c r="Y73" s="120"/>
      <c r="Z73" s="96">
        <f>SUM(U73:X73)</f>
        <v>96</v>
      </c>
      <c r="AA73" s="97">
        <f>IF(C73=2016, Z73/3,Z73)+Y73</f>
        <v>96</v>
      </c>
      <c r="AB73" s="22"/>
      <c r="AC73" s="41"/>
      <c r="AD73" s="41"/>
      <c r="AE73" s="41"/>
      <c r="AF73" s="41">
        <f>18</f>
        <v>18</v>
      </c>
      <c r="AG73" s="41">
        <f>27</f>
        <v>27</v>
      </c>
      <c r="AH73" s="41">
        <f>17+2</f>
        <v>19</v>
      </c>
      <c r="AI73" s="13"/>
      <c r="AJ73" s="95"/>
      <c r="AK73" s="96">
        <f>SUM(AC73:AI73)</f>
        <v>64</v>
      </c>
      <c r="AL73" s="97">
        <f>IF(C73=2015, AK73/3,AK73)+AJ73</f>
        <v>64</v>
      </c>
    </row>
    <row r="74" spans="1:38" x14ac:dyDescent="0.25">
      <c r="A74" s="11" t="s">
        <v>337</v>
      </c>
      <c r="B74" s="60" t="s">
        <v>86</v>
      </c>
      <c r="C74" s="62">
        <v>2013</v>
      </c>
      <c r="D74" s="1">
        <f>R74+F74+E74</f>
        <v>63</v>
      </c>
      <c r="E74" s="233">
        <f>0</f>
        <v>0</v>
      </c>
      <c r="G74" s="120"/>
      <c r="I74" s="205">
        <f>0</f>
        <v>0</v>
      </c>
      <c r="J74" s="205"/>
      <c r="K74" s="205"/>
      <c r="L74" s="205">
        <f>0</f>
        <v>0</v>
      </c>
      <c r="M74" s="205"/>
      <c r="N74" s="205"/>
      <c r="O74" s="219">
        <f>AA74</f>
        <v>63</v>
      </c>
      <c r="P74" s="120"/>
      <c r="Q74" s="96">
        <f>AC74+I74+J74+K74+L74+M74+N74+O74</f>
        <v>63</v>
      </c>
      <c r="R74" s="97">
        <f>IF(C74=2017, Q74/3,Q74)+P74</f>
        <v>63</v>
      </c>
      <c r="S74" s="209"/>
      <c r="T74" s="209"/>
      <c r="U74" s="50">
        <f>8</f>
        <v>8</v>
      </c>
      <c r="V74" s="50">
        <f>32</f>
        <v>32</v>
      </c>
      <c r="W74" s="50">
        <f>0+3+1</f>
        <v>4</v>
      </c>
      <c r="X74" s="50">
        <f>AL74</f>
        <v>19</v>
      </c>
      <c r="Y74" s="120"/>
      <c r="Z74" s="96">
        <f>SUM(U74:X74)</f>
        <v>63</v>
      </c>
      <c r="AA74" s="97">
        <f>IF(C74=2016, Z74/3,Z74)+Y74</f>
        <v>63</v>
      </c>
      <c r="AB74" s="22"/>
      <c r="AC74" s="41"/>
      <c r="AD74" s="41"/>
      <c r="AE74" s="41"/>
      <c r="AF74" s="41">
        <f>0+3</f>
        <v>3</v>
      </c>
      <c r="AG74" s="41"/>
      <c r="AH74" s="41">
        <f>14+2</f>
        <v>16</v>
      </c>
      <c r="AI74" s="13"/>
      <c r="AJ74" s="95"/>
      <c r="AK74" s="96">
        <f>SUM(AC74:AI74)</f>
        <v>19</v>
      </c>
      <c r="AL74" s="97">
        <f>IF(C74=2015, AK74/3,AK74)+AJ74</f>
        <v>19</v>
      </c>
    </row>
    <row r="75" spans="1:38" x14ac:dyDescent="0.25">
      <c r="A75" s="11" t="s">
        <v>822</v>
      </c>
      <c r="B75" s="11" t="s">
        <v>587</v>
      </c>
      <c r="C75" s="3">
        <v>2014</v>
      </c>
      <c r="D75" s="1">
        <f>R75+F75+E75</f>
        <v>3</v>
      </c>
      <c r="E75" s="156"/>
      <c r="F75" s="156"/>
      <c r="G75" s="154"/>
      <c r="H75" s="156"/>
      <c r="I75" s="156"/>
      <c r="J75" s="156"/>
      <c r="K75" s="156"/>
      <c r="L75" s="156"/>
      <c r="M75" s="156"/>
      <c r="N75" s="156">
        <f>3</f>
        <v>3</v>
      </c>
      <c r="O75" s="219">
        <f>AA75</f>
        <v>0</v>
      </c>
      <c r="P75" s="154"/>
      <c r="Q75" s="96">
        <f>AC75+I75+J75+K75+L75+M75+N75+O75</f>
        <v>3</v>
      </c>
      <c r="R75" s="97">
        <f>IF(C75=2017, Q75/3,Q75)+P75</f>
        <v>3</v>
      </c>
      <c r="S75" s="238"/>
      <c r="T75" s="238"/>
      <c r="Y75" s="120"/>
      <c r="Z75" s="96">
        <f>SUM(U75:X75)</f>
        <v>0</v>
      </c>
      <c r="AA75" s="97">
        <f>IF(C75=2016, Z75/3,Z75)+Y75</f>
        <v>0</v>
      </c>
      <c r="AB75" s="101"/>
      <c r="AC75" s="153"/>
      <c r="AD75" s="153"/>
      <c r="AE75" s="153"/>
      <c r="AF75" s="153"/>
      <c r="AG75" s="153"/>
      <c r="AH75" s="153"/>
      <c r="AI75" s="153"/>
      <c r="AJ75" s="95"/>
      <c r="AK75" s="96"/>
      <c r="AL75" s="97"/>
    </row>
    <row r="76" spans="1:38" x14ac:dyDescent="0.25">
      <c r="A76" s="11" t="s">
        <v>481</v>
      </c>
      <c r="B76" s="60" t="s">
        <v>273</v>
      </c>
      <c r="C76" s="62">
        <v>2013</v>
      </c>
      <c r="D76" s="1">
        <f>R76+F76+E76</f>
        <v>0</v>
      </c>
      <c r="E76" s="237"/>
      <c r="F76" s="237"/>
      <c r="G76" s="120"/>
      <c r="H76" s="237"/>
      <c r="I76" s="237"/>
      <c r="J76" s="237"/>
      <c r="K76" s="237"/>
      <c r="L76" s="237"/>
      <c r="M76" s="237"/>
      <c r="N76" s="237"/>
      <c r="O76" s="219">
        <f>AA76</f>
        <v>0</v>
      </c>
      <c r="P76" s="120"/>
      <c r="Q76" s="96">
        <f>AC76+I76+J76+K76+L76+M76+N76+O76</f>
        <v>0</v>
      </c>
      <c r="R76" s="97">
        <f>IF(C76=2017, Q76/3,Q76)+P76</f>
        <v>0</v>
      </c>
      <c r="S76" s="238"/>
      <c r="T76" s="238"/>
      <c r="U76" s="237"/>
      <c r="V76" s="237"/>
      <c r="W76" s="237"/>
      <c r="X76" s="237">
        <f>AL76</f>
        <v>0</v>
      </c>
      <c r="Y76" s="120"/>
      <c r="Z76" s="96">
        <f>SUM(U76:X76)</f>
        <v>0</v>
      </c>
      <c r="AA76" s="97">
        <f>IF(C76=2016, Z76/3,Z76)+Y76</f>
        <v>0</v>
      </c>
      <c r="AB76" s="22"/>
      <c r="AC76" s="41"/>
      <c r="AD76" s="41"/>
      <c r="AE76" s="41"/>
      <c r="AF76" s="41"/>
      <c r="AG76" s="41"/>
      <c r="AH76" s="41">
        <f>0</f>
        <v>0</v>
      </c>
      <c r="AI76" s="13"/>
      <c r="AJ76" s="95"/>
      <c r="AK76" s="96">
        <f>SUM(AC76:AI76)</f>
        <v>0</v>
      </c>
      <c r="AL76" s="97">
        <f>IF(C76=2015, AK76/3,AK76)+AJ76</f>
        <v>0</v>
      </c>
    </row>
    <row r="77" spans="1:38" x14ac:dyDescent="0.25">
      <c r="A77" s="11" t="s">
        <v>457</v>
      </c>
      <c r="B77" s="11" t="s">
        <v>7</v>
      </c>
      <c r="C77" s="3">
        <v>2014</v>
      </c>
      <c r="D77" s="1">
        <f>R77+F77+E77</f>
        <v>192</v>
      </c>
      <c r="E77" s="156">
        <f>32+18</f>
        <v>50</v>
      </c>
      <c r="F77" s="156">
        <f>0+2</f>
        <v>2</v>
      </c>
      <c r="G77" s="154"/>
      <c r="H77" s="156"/>
      <c r="I77" s="156">
        <f>50+16</f>
        <v>66</v>
      </c>
      <c r="J77" s="156">
        <f>50+24</f>
        <v>74</v>
      </c>
      <c r="K77" s="156"/>
      <c r="L77" s="156"/>
      <c r="M77" s="156">
        <f>0</f>
        <v>0</v>
      </c>
      <c r="N77" s="156"/>
      <c r="O77" s="219">
        <f>AA77</f>
        <v>0</v>
      </c>
      <c r="P77" s="154"/>
      <c r="Q77" s="96">
        <f>AC77+I77+J77+K77+L77+M77+N77+O77</f>
        <v>140</v>
      </c>
      <c r="R77" s="97">
        <f>IF(C77=2017, Q77/3,Q77)+P77</f>
        <v>140</v>
      </c>
      <c r="U77" s="219"/>
      <c r="V77" s="219"/>
      <c r="W77" s="219"/>
      <c r="X77" s="219"/>
      <c r="Y77" s="120"/>
      <c r="Z77" s="96">
        <f>SUM(U77:X77)</f>
        <v>0</v>
      </c>
      <c r="AA77" s="97">
        <f>IF(C77=2016, Z77/3,Z77)+Y77</f>
        <v>0</v>
      </c>
      <c r="AB77" s="101"/>
      <c r="AC77" s="153"/>
      <c r="AD77" s="153"/>
      <c r="AE77" s="153"/>
      <c r="AF77" s="153"/>
      <c r="AG77" s="153"/>
      <c r="AH77" s="153"/>
      <c r="AI77" s="153"/>
      <c r="AJ77" s="95"/>
      <c r="AK77" s="96"/>
      <c r="AL77" s="97"/>
    </row>
    <row r="78" spans="1:38" x14ac:dyDescent="0.25">
      <c r="A78" s="11" t="s">
        <v>761</v>
      </c>
      <c r="B78" s="11" t="s">
        <v>232</v>
      </c>
      <c r="C78" s="3">
        <v>2017</v>
      </c>
      <c r="D78" s="1">
        <f>R78+F78+E78</f>
        <v>17</v>
      </c>
      <c r="E78" s="108">
        <f>15</f>
        <v>15</v>
      </c>
      <c r="F78" s="108">
        <f>0</f>
        <v>0</v>
      </c>
      <c r="G78" s="122"/>
      <c r="H78" s="108"/>
      <c r="I78" s="108"/>
      <c r="J78" s="108"/>
      <c r="K78" s="108"/>
      <c r="L78" s="108"/>
      <c r="M78" s="108"/>
      <c r="N78" s="108">
        <f>6</f>
        <v>6</v>
      </c>
      <c r="O78" s="219">
        <f>AA78</f>
        <v>0</v>
      </c>
      <c r="P78" s="122"/>
      <c r="Q78" s="96">
        <f>AC78+I78+J78+K78+L78+M78+N78+O78</f>
        <v>6</v>
      </c>
      <c r="R78" s="97">
        <f>IF(C78=2017, Q78/3,Q78)+P78</f>
        <v>2</v>
      </c>
      <c r="S78" s="101"/>
      <c r="T78" s="108"/>
      <c r="U78" s="108"/>
      <c r="V78" s="108"/>
      <c r="W78" s="108"/>
      <c r="X78" s="108"/>
      <c r="Y78" s="122"/>
      <c r="Z78" s="96">
        <f>SUM(U78:X78)</f>
        <v>0</v>
      </c>
      <c r="AA78" s="97">
        <f>IF(C78=2016, Z78/3,Z78)+Y78</f>
        <v>0</v>
      </c>
      <c r="AB78" s="101"/>
      <c r="AC78" s="41"/>
      <c r="AD78" s="41"/>
      <c r="AE78" s="41"/>
      <c r="AF78" s="41"/>
      <c r="AG78" s="41"/>
      <c r="AH78" s="41"/>
      <c r="AI78" s="41"/>
    </row>
    <row r="79" spans="1:38" x14ac:dyDescent="0.25">
      <c r="A79" s="11" t="s">
        <v>725</v>
      </c>
      <c r="B79" s="60" t="s">
        <v>0</v>
      </c>
      <c r="C79" s="62">
        <v>2013</v>
      </c>
      <c r="D79" s="1">
        <f>R79+F79+E79</f>
        <v>245</v>
      </c>
      <c r="E79" s="233">
        <f>34</f>
        <v>34</v>
      </c>
      <c r="G79" s="154"/>
      <c r="I79" s="205">
        <f>48+12</f>
        <v>60</v>
      </c>
      <c r="J79" s="196">
        <f>22</f>
        <v>22</v>
      </c>
      <c r="K79" s="186">
        <f>18+6+4</f>
        <v>28</v>
      </c>
      <c r="L79" s="170">
        <f>23+7+1</f>
        <v>31</v>
      </c>
      <c r="M79" s="50">
        <f>31+5+3</f>
        <v>39</v>
      </c>
      <c r="N79" s="50">
        <f>29+2</f>
        <v>31</v>
      </c>
      <c r="O79" s="219">
        <f>AA79</f>
        <v>0</v>
      </c>
      <c r="P79" s="154"/>
      <c r="Q79" s="96">
        <f>AC79+I79+J79+K79+L79+M79+N79+O79</f>
        <v>211</v>
      </c>
      <c r="R79" s="97">
        <f>IF(C79=2017, Q79/3,Q79)+P79</f>
        <v>211</v>
      </c>
      <c r="S79" s="209"/>
      <c r="T79" s="209"/>
      <c r="Y79" s="120"/>
      <c r="Z79" s="96">
        <f>SUM(U79:X79)</f>
        <v>0</v>
      </c>
      <c r="AA79" s="97">
        <f>IF(C79=2016, Z79/3,Z79)+Y79</f>
        <v>0</v>
      </c>
      <c r="AB79" s="22"/>
      <c r="AC79" s="153"/>
      <c r="AD79" s="153"/>
      <c r="AE79" s="153"/>
      <c r="AF79" s="153"/>
      <c r="AG79" s="153"/>
      <c r="AH79" s="153"/>
      <c r="AI79" s="13"/>
      <c r="AJ79" s="95"/>
      <c r="AK79" s="96">
        <f>SUM(AC79:AI79)</f>
        <v>0</v>
      </c>
      <c r="AL79" s="97">
        <f>IF(C79=2015, AK79/3,AK79)+AJ79</f>
        <v>0</v>
      </c>
    </row>
    <row r="80" spans="1:38" x14ac:dyDescent="0.25">
      <c r="A80" s="11" t="s">
        <v>891</v>
      </c>
      <c r="B80" s="60" t="s">
        <v>0</v>
      </c>
      <c r="C80" s="62">
        <v>2016</v>
      </c>
      <c r="D80" s="1">
        <f>R80+F80+E80</f>
        <v>71</v>
      </c>
      <c r="G80" s="154"/>
      <c r="K80" s="186">
        <f>23+8+2</f>
        <v>33</v>
      </c>
      <c r="L80" s="174">
        <f>23+15</f>
        <v>38</v>
      </c>
      <c r="M80" s="174"/>
      <c r="N80" s="174"/>
      <c r="O80" s="219">
        <f>AA80</f>
        <v>0</v>
      </c>
      <c r="P80" s="154"/>
      <c r="Q80" s="96">
        <f>AC80+I80+J80+K80+L80+M80+N80+O80</f>
        <v>71</v>
      </c>
      <c r="R80" s="97">
        <f>IF(C80=2017, Q80/3,Q80)+P80</f>
        <v>71</v>
      </c>
      <c r="U80" s="174"/>
      <c r="V80" s="174"/>
      <c r="W80" s="174"/>
      <c r="X80" s="174"/>
      <c r="Y80" s="120"/>
      <c r="Z80" s="96">
        <f>SUM(U80:X80)</f>
        <v>0</v>
      </c>
      <c r="AA80" s="97">
        <f>IF(C80=2016, Z80/3,Z80)+Y80</f>
        <v>0</v>
      </c>
      <c r="AB80" s="22"/>
      <c r="AC80" s="153"/>
      <c r="AD80" s="153"/>
      <c r="AE80" s="153"/>
      <c r="AF80" s="153"/>
      <c r="AG80" s="153"/>
      <c r="AH80" s="153"/>
      <c r="AI80" s="13"/>
      <c r="AJ80" s="95"/>
      <c r="AK80" s="96"/>
      <c r="AL80" s="97"/>
    </row>
    <row r="81" spans="1:38" x14ac:dyDescent="0.25">
      <c r="A81" s="11" t="s">
        <v>895</v>
      </c>
      <c r="B81" s="60" t="s">
        <v>63</v>
      </c>
      <c r="C81" s="62">
        <v>2013</v>
      </c>
      <c r="D81" s="1">
        <f>R81+F81+E81</f>
        <v>23</v>
      </c>
      <c r="E81" s="237"/>
      <c r="F81" s="237"/>
      <c r="G81" s="154"/>
      <c r="H81" s="237"/>
      <c r="I81" s="237"/>
      <c r="J81" s="237"/>
      <c r="K81" s="237"/>
      <c r="L81" s="237">
        <f>23</f>
        <v>23</v>
      </c>
      <c r="M81" s="237"/>
      <c r="N81" s="237"/>
      <c r="O81" s="219">
        <f>AA81</f>
        <v>0</v>
      </c>
      <c r="P81" s="154"/>
      <c r="Q81" s="96">
        <f>AC81+I81+J81+K81+L81+M81+N81+O81</f>
        <v>23</v>
      </c>
      <c r="R81" s="97">
        <f>IF(C81=2017, Q81/3,Q81)+P81</f>
        <v>23</v>
      </c>
      <c r="U81" s="191"/>
      <c r="V81" s="191"/>
      <c r="W81" s="191"/>
      <c r="X81" s="191"/>
      <c r="Y81" s="120"/>
      <c r="Z81" s="96">
        <f>SUM(U81:X81)</f>
        <v>0</v>
      </c>
      <c r="AA81" s="97">
        <f>IF(C81=2016, Z81/3,Z81)+Y81</f>
        <v>0</v>
      </c>
      <c r="AB81" s="22"/>
      <c r="AC81" s="153"/>
      <c r="AD81" s="153"/>
      <c r="AE81" s="153"/>
      <c r="AF81" s="153"/>
      <c r="AG81" s="153"/>
      <c r="AH81" s="153"/>
      <c r="AI81" s="13"/>
      <c r="AJ81" s="95"/>
      <c r="AK81" s="96"/>
      <c r="AL81" s="97"/>
    </row>
    <row r="82" spans="1:38" x14ac:dyDescent="0.25">
      <c r="A82" s="45" t="s">
        <v>84</v>
      </c>
      <c r="B82" s="66" t="s">
        <v>63</v>
      </c>
      <c r="C82" s="46">
        <v>2016</v>
      </c>
      <c r="D82" s="1">
        <f>R82+F82+E82</f>
        <v>243.33333333333331</v>
      </c>
      <c r="E82" s="156"/>
      <c r="F82" s="156"/>
      <c r="G82" s="122"/>
      <c r="H82" s="156"/>
      <c r="I82" s="156">
        <f>54</f>
        <v>54</v>
      </c>
      <c r="J82" s="156">
        <f>21</f>
        <v>21</v>
      </c>
      <c r="K82" s="156">
        <f>21+3</f>
        <v>24</v>
      </c>
      <c r="L82" s="156">
        <f>0+3+3</f>
        <v>6</v>
      </c>
      <c r="M82" s="156">
        <f>0+12+6</f>
        <v>18</v>
      </c>
      <c r="N82" s="156">
        <f>38+6</f>
        <v>44</v>
      </c>
      <c r="O82" s="219">
        <f>AA82</f>
        <v>76.333333333333329</v>
      </c>
      <c r="P82" s="122"/>
      <c r="Q82" s="96">
        <f>AC82+I82+J82+K82+L82+M82+N82+O82</f>
        <v>243.33333333333331</v>
      </c>
      <c r="R82" s="97">
        <f>IF(C82=2017, Q82/3,Q82)+P82</f>
        <v>243.33333333333331</v>
      </c>
      <c r="S82" s="238"/>
      <c r="T82" s="238"/>
      <c r="U82" s="108">
        <f>36+3</f>
        <v>39</v>
      </c>
      <c r="V82" s="108">
        <f>29+15</f>
        <v>44</v>
      </c>
      <c r="W82" s="108">
        <f>21</f>
        <v>21</v>
      </c>
      <c r="X82" s="108">
        <f>AL82</f>
        <v>107</v>
      </c>
      <c r="Y82" s="122">
        <f>6</f>
        <v>6</v>
      </c>
      <c r="Z82" s="96">
        <f>SUM(U82:X82)</f>
        <v>211</v>
      </c>
      <c r="AA82" s="97">
        <f>IF(C82=2016, Z82/3,Z82)+Y82</f>
        <v>76.333333333333329</v>
      </c>
      <c r="AB82" s="101"/>
      <c r="AC82" s="41"/>
      <c r="AD82" s="41">
        <v>45</v>
      </c>
      <c r="AE82" s="41">
        <f>18</f>
        <v>18</v>
      </c>
      <c r="AF82" s="41">
        <f>33</f>
        <v>33</v>
      </c>
      <c r="AG82" s="41">
        <f>0</f>
        <v>0</v>
      </c>
      <c r="AH82" s="41">
        <f>11</f>
        <v>11</v>
      </c>
      <c r="AI82" s="13"/>
      <c r="AK82" s="96">
        <f>SUM(AC82:AI82)</f>
        <v>107</v>
      </c>
      <c r="AL82" s="97">
        <f>IF(C82=2015, AK82/3,AK82)+AJ82</f>
        <v>107</v>
      </c>
    </row>
    <row r="83" spans="1:38" x14ac:dyDescent="0.25">
      <c r="A83" s="11" t="s">
        <v>126</v>
      </c>
      <c r="B83" s="60" t="s">
        <v>64</v>
      </c>
      <c r="C83" s="62">
        <v>2013</v>
      </c>
      <c r="D83" s="1">
        <f>R83+F83+E83</f>
        <v>23</v>
      </c>
      <c r="E83" s="237"/>
      <c r="F83" s="237"/>
      <c r="G83" s="120"/>
      <c r="H83" s="237"/>
      <c r="I83" s="237"/>
      <c r="J83" s="237"/>
      <c r="K83" s="237"/>
      <c r="L83" s="237"/>
      <c r="M83" s="237"/>
      <c r="N83" s="237"/>
      <c r="O83" s="219">
        <f>AA83</f>
        <v>23</v>
      </c>
      <c r="P83" s="120"/>
      <c r="Q83" s="96">
        <f>AC83+I83+J83+K83+L83+M83+N83+O83</f>
        <v>23</v>
      </c>
      <c r="R83" s="97">
        <f>IF(C83=2017, Q83/3,Q83)+P83</f>
        <v>23</v>
      </c>
      <c r="S83" s="238"/>
      <c r="T83" s="238"/>
      <c r="U83" s="237"/>
      <c r="V83" s="237"/>
      <c r="W83" s="237"/>
      <c r="X83" s="237">
        <f>AL83</f>
        <v>23</v>
      </c>
      <c r="Y83" s="120"/>
      <c r="Z83" s="96">
        <f>SUM(U83:X83)</f>
        <v>23</v>
      </c>
      <c r="AA83" s="97">
        <f>IF(C83=2016, Z83/3,Z83)+Y83</f>
        <v>23</v>
      </c>
      <c r="AB83" s="22"/>
      <c r="AC83" s="41"/>
      <c r="AD83" s="41">
        <v>20</v>
      </c>
      <c r="AE83" s="41">
        <f>3</f>
        <v>3</v>
      </c>
      <c r="AF83" s="41"/>
      <c r="AG83" s="41"/>
      <c r="AH83" s="41"/>
      <c r="AI83" s="13"/>
      <c r="AJ83" s="95"/>
      <c r="AK83" s="96">
        <f>SUM(AC83:AI83)</f>
        <v>23</v>
      </c>
      <c r="AL83" s="97">
        <f>IF(C83=2015, AK83/3,AK83)+AJ83</f>
        <v>23</v>
      </c>
    </row>
    <row r="84" spans="1:38" x14ac:dyDescent="0.25">
      <c r="A84" s="45" t="s">
        <v>464</v>
      </c>
      <c r="B84" s="66" t="s">
        <v>0</v>
      </c>
      <c r="C84" s="46">
        <v>2015</v>
      </c>
      <c r="D84" s="1">
        <f>R84+F84+E84</f>
        <v>24.666666666666668</v>
      </c>
      <c r="E84" s="237">
        <f>22</f>
        <v>22</v>
      </c>
      <c r="F84" s="237"/>
      <c r="G84" s="120"/>
      <c r="H84" s="237"/>
      <c r="I84" s="237"/>
      <c r="J84" s="237"/>
      <c r="K84" s="237"/>
      <c r="L84" s="237"/>
      <c r="M84" s="237"/>
      <c r="N84" s="237"/>
      <c r="O84" s="219">
        <f>AA84</f>
        <v>2.6666666666666665</v>
      </c>
      <c r="P84" s="120"/>
      <c r="Q84" s="96">
        <f>AC84+I84+J84+K84+L84+M84+N84+O84</f>
        <v>2.6666666666666665</v>
      </c>
      <c r="R84" s="97">
        <f>IF(C84=2017, Q84/3,Q84)+P84</f>
        <v>2.6666666666666665</v>
      </c>
      <c r="S84" s="209"/>
      <c r="T84" s="209"/>
      <c r="U84" s="174"/>
      <c r="V84" s="174"/>
      <c r="W84" s="174"/>
      <c r="X84" s="174">
        <f>AL84</f>
        <v>2.6666666666666665</v>
      </c>
      <c r="Y84" s="120"/>
      <c r="Z84" s="96">
        <f>SUM(U84:X84)</f>
        <v>2.6666666666666665</v>
      </c>
      <c r="AA84" s="97">
        <f>IF(C84=2016, Z84/3,Z84)+Y84</f>
        <v>2.6666666666666665</v>
      </c>
      <c r="AB84" s="101"/>
      <c r="AC84" s="41"/>
      <c r="AD84" s="41"/>
      <c r="AE84" s="41"/>
      <c r="AF84" s="41"/>
      <c r="AG84" s="41"/>
      <c r="AH84" s="41">
        <f>8</f>
        <v>8</v>
      </c>
      <c r="AI84" s="13"/>
      <c r="AJ84" s="95"/>
      <c r="AK84" s="96">
        <f>SUM(AC84:AI84)</f>
        <v>8</v>
      </c>
      <c r="AL84" s="97">
        <f>IF(C84=2015, AK84/3,AK84)+AJ84</f>
        <v>2.6666666666666665</v>
      </c>
    </row>
    <row r="85" spans="1:38" x14ac:dyDescent="0.25">
      <c r="A85" s="45" t="s">
        <v>737</v>
      </c>
      <c r="B85" s="66" t="s">
        <v>63</v>
      </c>
      <c r="C85" s="46">
        <v>2014</v>
      </c>
      <c r="D85" s="1">
        <f>R85+F85+E85</f>
        <v>0</v>
      </c>
      <c r="E85" s="156"/>
      <c r="F85" s="156"/>
      <c r="G85" s="154"/>
      <c r="H85" s="156"/>
      <c r="I85" s="156"/>
      <c r="J85" s="156"/>
      <c r="K85" s="156"/>
      <c r="L85" s="156"/>
      <c r="M85" s="156"/>
      <c r="N85" s="156"/>
      <c r="O85" s="219">
        <f>AA85</f>
        <v>0</v>
      </c>
      <c r="P85" s="154"/>
      <c r="Q85" s="96">
        <f>AC85+I85+J85+K85+L85+M85+N85+O85</f>
        <v>0</v>
      </c>
      <c r="R85" s="97">
        <f>IF(C85=2017, Q85/3,Q85)+P85</f>
        <v>0</v>
      </c>
      <c r="S85" s="238"/>
      <c r="T85" s="238"/>
      <c r="U85" s="205"/>
      <c r="V85" s="205"/>
      <c r="W85" s="205"/>
      <c r="X85" s="205"/>
      <c r="Y85" s="120"/>
      <c r="Z85" s="96">
        <f>SUM(U85:X85)</f>
        <v>0</v>
      </c>
      <c r="AA85" s="97">
        <f>IF(C85=2016, Z85/3,Z85)+Y85</f>
        <v>0</v>
      </c>
      <c r="AB85" s="101"/>
      <c r="AC85" s="153"/>
      <c r="AD85" s="153"/>
      <c r="AE85" s="153"/>
      <c r="AF85" s="153"/>
      <c r="AG85" s="153"/>
      <c r="AH85" s="153"/>
      <c r="AI85" s="13"/>
      <c r="AJ85" s="95"/>
      <c r="AK85" s="96">
        <f>SUM(AC85:AI85)</f>
        <v>0</v>
      </c>
      <c r="AL85" s="97">
        <f>IF(C85=2015, AK85/3,AK85)+AJ85</f>
        <v>0</v>
      </c>
    </row>
    <row r="86" spans="1:38" x14ac:dyDescent="0.25">
      <c r="A86" s="45" t="s">
        <v>869</v>
      </c>
      <c r="B86" s="66" t="s">
        <v>479</v>
      </c>
      <c r="C86" s="46">
        <v>2015</v>
      </c>
      <c r="D86" s="1">
        <f>R86+F86+E86</f>
        <v>3</v>
      </c>
      <c r="E86" s="156"/>
      <c r="F86" s="156"/>
      <c r="G86" s="154"/>
      <c r="H86" s="156"/>
      <c r="I86" s="156"/>
      <c r="J86" s="156"/>
      <c r="K86" s="156"/>
      <c r="L86" s="156"/>
      <c r="M86" s="156">
        <f>2+1</f>
        <v>3</v>
      </c>
      <c r="N86" s="156"/>
      <c r="O86" s="219">
        <f>AA86</f>
        <v>0</v>
      </c>
      <c r="P86" s="154"/>
      <c r="Q86" s="96">
        <f>AC86+I86+J86+K86+L86+M86+N86+O86</f>
        <v>3</v>
      </c>
      <c r="R86" s="97">
        <f>IF(C86=2017, Q86/3,Q86)+P86</f>
        <v>3</v>
      </c>
      <c r="U86" s="205"/>
      <c r="V86" s="205"/>
      <c r="W86" s="205"/>
      <c r="X86" s="205"/>
      <c r="Y86" s="120"/>
      <c r="Z86" s="96">
        <f>SUM(U86:X86)</f>
        <v>0</v>
      </c>
      <c r="AA86" s="97">
        <f>IF(C86=2016, Z86/3,Z86)+Y86</f>
        <v>0</v>
      </c>
      <c r="AB86" s="101"/>
      <c r="AC86" s="153"/>
      <c r="AD86" s="153"/>
      <c r="AE86" s="153"/>
      <c r="AF86" s="153"/>
      <c r="AG86" s="153"/>
      <c r="AH86" s="153"/>
      <c r="AI86" s="13"/>
      <c r="AJ86" s="95"/>
      <c r="AK86" s="96"/>
      <c r="AL86" s="97"/>
    </row>
    <row r="87" spans="1:38" x14ac:dyDescent="0.25">
      <c r="A87" s="45" t="s">
        <v>445</v>
      </c>
      <c r="B87" s="66" t="s">
        <v>273</v>
      </c>
      <c r="C87" s="46">
        <v>2017</v>
      </c>
      <c r="D87" s="1">
        <f>R87+F87+E87</f>
        <v>10</v>
      </c>
      <c r="E87" s="108"/>
      <c r="F87" s="108"/>
      <c r="G87" s="122"/>
      <c r="H87" s="108"/>
      <c r="I87" s="108"/>
      <c r="J87" s="108"/>
      <c r="K87" s="108"/>
      <c r="L87" s="108"/>
      <c r="M87" s="108"/>
      <c r="N87" s="108"/>
      <c r="O87" s="219">
        <f>AA87</f>
        <v>30</v>
      </c>
      <c r="P87" s="122"/>
      <c r="Q87" s="96">
        <f>AC87+I87+J87+K87+L87+M87+N87+O87</f>
        <v>30</v>
      </c>
      <c r="R87" s="97">
        <f>IF(C87=2017, Q87/3,Q87)+P87</f>
        <v>10</v>
      </c>
      <c r="S87" s="101"/>
      <c r="T87" s="108"/>
      <c r="U87" s="108"/>
      <c r="V87" s="108">
        <f>12</f>
        <v>12</v>
      </c>
      <c r="W87" s="108"/>
      <c r="X87" s="108">
        <f>AL87</f>
        <v>18</v>
      </c>
      <c r="Y87" s="122"/>
      <c r="Z87" s="96">
        <f>SUM(U87:X87)</f>
        <v>30</v>
      </c>
      <c r="AA87" s="97">
        <f>IF(C87=2016, Z87/3,Z87)+Y87</f>
        <v>30</v>
      </c>
      <c r="AB87" s="101"/>
      <c r="AC87" s="41"/>
      <c r="AD87" s="41"/>
      <c r="AE87" s="41"/>
      <c r="AF87" s="41"/>
      <c r="AG87" s="41">
        <f>9</f>
        <v>9</v>
      </c>
      <c r="AH87" s="41">
        <f>9</f>
        <v>9</v>
      </c>
      <c r="AI87" s="13"/>
      <c r="AK87" s="3">
        <f>SUM(AC87:AJ87)</f>
        <v>18</v>
      </c>
      <c r="AL87" s="3">
        <f>AK87</f>
        <v>18</v>
      </c>
    </row>
    <row r="88" spans="1:38" x14ac:dyDescent="0.25">
      <c r="A88" s="45" t="s">
        <v>770</v>
      </c>
      <c r="B88" s="66" t="s">
        <v>63</v>
      </c>
      <c r="C88" s="46">
        <v>2016</v>
      </c>
      <c r="D88" s="1">
        <f>R88+F88+E88</f>
        <v>79</v>
      </c>
      <c r="E88" s="156"/>
      <c r="F88" s="156"/>
      <c r="G88" s="154"/>
      <c r="H88" s="156"/>
      <c r="I88" s="156">
        <f>0</f>
        <v>0</v>
      </c>
      <c r="J88" s="156">
        <f>9</f>
        <v>9</v>
      </c>
      <c r="K88" s="156">
        <f>6</f>
        <v>6</v>
      </c>
      <c r="L88" s="156">
        <f>23+7</f>
        <v>30</v>
      </c>
      <c r="M88" s="156">
        <f>18</f>
        <v>18</v>
      </c>
      <c r="N88" s="156">
        <f>16</f>
        <v>16</v>
      </c>
      <c r="O88" s="219">
        <f>AA88</f>
        <v>0</v>
      </c>
      <c r="P88" s="154"/>
      <c r="Q88" s="96">
        <f>AC88+I88+J88+K88+L88+M88+N88+O88</f>
        <v>79</v>
      </c>
      <c r="R88" s="97">
        <f>IF(C88=2017, Q88/3,Q88)+P88</f>
        <v>79</v>
      </c>
      <c r="S88" s="209"/>
      <c r="T88" s="209"/>
      <c r="Y88" s="120"/>
      <c r="Z88" s="96">
        <f>SUM(U88:X88)</f>
        <v>0</v>
      </c>
      <c r="AA88" s="97">
        <f>IF(C88=2016, Z88/3,Z88)+Y88</f>
        <v>0</v>
      </c>
      <c r="AB88" s="101"/>
      <c r="AC88" s="153"/>
      <c r="AD88" s="153"/>
      <c r="AE88" s="153"/>
      <c r="AF88" s="153"/>
      <c r="AG88" s="153"/>
      <c r="AH88" s="153"/>
      <c r="AI88" s="13"/>
      <c r="AJ88" s="95"/>
      <c r="AK88" s="96"/>
      <c r="AL88" s="97"/>
    </row>
    <row r="89" spans="1:38" x14ac:dyDescent="0.25">
      <c r="A89" s="45" t="s">
        <v>874</v>
      </c>
      <c r="B89" s="66" t="s">
        <v>479</v>
      </c>
      <c r="C89" s="46">
        <v>2015</v>
      </c>
      <c r="D89" s="1">
        <f>R89+F89+E89</f>
        <v>1</v>
      </c>
      <c r="E89" s="156"/>
      <c r="F89" s="156"/>
      <c r="G89" s="154"/>
      <c r="H89" s="156"/>
      <c r="I89" s="156"/>
      <c r="J89" s="156"/>
      <c r="K89" s="156"/>
      <c r="L89" s="156"/>
      <c r="M89" s="156">
        <f>1</f>
        <v>1</v>
      </c>
      <c r="N89" s="156"/>
      <c r="O89" s="219">
        <f>AA89</f>
        <v>0</v>
      </c>
      <c r="P89" s="154"/>
      <c r="Q89" s="96">
        <f>AC89+I89+J89+K89+L89+M89+N89+O89</f>
        <v>1</v>
      </c>
      <c r="R89" s="97">
        <f>IF(C89=2017, Q89/3,Q89)+P89</f>
        <v>1</v>
      </c>
      <c r="U89" s="205"/>
      <c r="V89" s="205"/>
      <c r="W89" s="205"/>
      <c r="X89" s="205"/>
      <c r="Y89" s="120"/>
      <c r="Z89" s="96">
        <f>SUM(U89:X89)</f>
        <v>0</v>
      </c>
      <c r="AA89" s="97">
        <f>IF(C89=2016, Z89/3,Z89)+Y89</f>
        <v>0</v>
      </c>
      <c r="AB89" s="101"/>
      <c r="AC89" s="153"/>
      <c r="AD89" s="153"/>
      <c r="AE89" s="153"/>
      <c r="AF89" s="153"/>
      <c r="AG89" s="153"/>
      <c r="AH89" s="153"/>
      <c r="AI89" s="13"/>
      <c r="AJ89" s="95"/>
      <c r="AK89" s="96"/>
      <c r="AL89" s="97"/>
    </row>
    <row r="90" spans="1:38" x14ac:dyDescent="0.25">
      <c r="A90" s="11" t="s">
        <v>139</v>
      </c>
      <c r="B90" s="60" t="s">
        <v>64</v>
      </c>
      <c r="C90" s="62">
        <v>2014</v>
      </c>
      <c r="D90" s="1">
        <f>R90+F90+E90</f>
        <v>25</v>
      </c>
      <c r="G90" s="120"/>
      <c r="I90" s="219"/>
      <c r="J90" s="219"/>
      <c r="K90" s="219"/>
      <c r="L90" s="219"/>
      <c r="M90" s="219"/>
      <c r="N90" s="219"/>
      <c r="O90" s="219">
        <f>AA90</f>
        <v>25</v>
      </c>
      <c r="P90" s="120"/>
      <c r="Q90" s="96">
        <f>AC90+I90+J90+K90+L90+M90+N90+O90</f>
        <v>25</v>
      </c>
      <c r="R90" s="97">
        <f>IF(C90=2017, Q90/3,Q90)+P90</f>
        <v>25</v>
      </c>
      <c r="S90" s="222"/>
      <c r="T90" s="222"/>
      <c r="U90" s="219"/>
      <c r="V90" s="219"/>
      <c r="W90" s="219"/>
      <c r="X90" s="219">
        <f>AL90</f>
        <v>25</v>
      </c>
      <c r="Y90" s="120"/>
      <c r="Z90" s="96">
        <f>SUM(U90:X90)</f>
        <v>25</v>
      </c>
      <c r="AA90" s="97">
        <f>IF(C90=2016, Z90/3,Z90)+Y90</f>
        <v>25</v>
      </c>
      <c r="AB90" s="22"/>
      <c r="AC90" s="41"/>
      <c r="AD90" s="41">
        <v>8</v>
      </c>
      <c r="AE90" s="41">
        <f>17</f>
        <v>17</v>
      </c>
      <c r="AF90" s="41"/>
      <c r="AG90" s="41"/>
      <c r="AH90" s="41"/>
      <c r="AI90" s="13"/>
      <c r="AJ90" s="95"/>
      <c r="AK90" s="96">
        <f>SUM(AC90:AI90)</f>
        <v>25</v>
      </c>
      <c r="AL90" s="97">
        <f>IF(C90=2015, AK90/3,AK90)+AJ90</f>
        <v>25</v>
      </c>
    </row>
    <row r="91" spans="1:38" x14ac:dyDescent="0.25">
      <c r="A91" s="71" t="s">
        <v>233</v>
      </c>
      <c r="B91" s="66" t="s">
        <v>63</v>
      </c>
      <c r="C91" s="72">
        <v>2015</v>
      </c>
      <c r="D91" s="1">
        <f>R91+F91+E91</f>
        <v>0</v>
      </c>
      <c r="E91" s="237"/>
      <c r="F91" s="237"/>
      <c r="G91" s="120"/>
      <c r="H91" s="237"/>
      <c r="I91" s="237"/>
      <c r="J91" s="237"/>
      <c r="K91" s="237"/>
      <c r="L91" s="237"/>
      <c r="M91" s="237"/>
      <c r="N91" s="237"/>
      <c r="O91" s="219">
        <f>AA91</f>
        <v>0</v>
      </c>
      <c r="P91" s="120"/>
      <c r="Q91" s="96">
        <f>AC91+I91+J91+K91+L91+M91+N91+O91</f>
        <v>0</v>
      </c>
      <c r="R91" s="97">
        <f>IF(C91=2017, Q91/3,Q91)+P91</f>
        <v>0</v>
      </c>
      <c r="S91" s="238"/>
      <c r="T91" s="238"/>
      <c r="U91" s="219"/>
      <c r="V91" s="219"/>
      <c r="W91" s="219"/>
      <c r="X91" s="219">
        <f>AL91</f>
        <v>0</v>
      </c>
      <c r="Y91" s="120"/>
      <c r="Z91" s="96">
        <f>SUM(U91:X91)</f>
        <v>0</v>
      </c>
      <c r="AA91" s="97">
        <f>IF(C91=2016, Z91/3,Z91)+Y91</f>
        <v>0</v>
      </c>
      <c r="AB91" s="101"/>
      <c r="AC91" s="41"/>
      <c r="AD91" s="41"/>
      <c r="AE91" s="41">
        <f>0</f>
        <v>0</v>
      </c>
      <c r="AF91" s="41"/>
      <c r="AG91" s="41"/>
      <c r="AH91" s="41"/>
      <c r="AI91" s="13"/>
      <c r="AJ91" s="95"/>
      <c r="AK91" s="96">
        <f>SUM(AC91:AI91)</f>
        <v>0</v>
      </c>
      <c r="AL91" s="97">
        <f>IF(C91=2015, AK91/3,AK91)+AJ91</f>
        <v>0</v>
      </c>
    </row>
    <row r="92" spans="1:38" x14ac:dyDescent="0.25">
      <c r="A92" s="71" t="s">
        <v>559</v>
      </c>
      <c r="B92" s="71" t="s">
        <v>64</v>
      </c>
      <c r="C92" s="72">
        <v>2013</v>
      </c>
      <c r="D92" s="1">
        <f>R92+F92+E92</f>
        <v>0</v>
      </c>
      <c r="G92" s="154"/>
      <c r="O92" s="219">
        <f>AA92</f>
        <v>0</v>
      </c>
      <c r="P92" s="154"/>
      <c r="Q92" s="96">
        <f>AC92+I92+J92+K92+L92+M92+N92+O92</f>
        <v>0</v>
      </c>
      <c r="R92" s="97">
        <f>IF(C92=2017, Q92/3,Q92)+P92</f>
        <v>0</v>
      </c>
      <c r="S92" s="209"/>
      <c r="T92" s="209"/>
      <c r="W92" s="50">
        <f>0</f>
        <v>0</v>
      </c>
      <c r="Y92" s="120"/>
      <c r="Z92" s="96">
        <f>SUM(U92:X92)</f>
        <v>0</v>
      </c>
      <c r="AA92" s="97">
        <f>IF(C92=2016, Z92/3,Z92)+Y92</f>
        <v>0</v>
      </c>
      <c r="AB92" s="22"/>
      <c r="AC92" s="237"/>
      <c r="AD92" s="237"/>
      <c r="AE92" s="237"/>
      <c r="AF92" s="237"/>
      <c r="AG92" s="237"/>
      <c r="AH92" s="237"/>
      <c r="AI92" s="240"/>
      <c r="AJ92" s="95"/>
      <c r="AK92" s="96">
        <f>SUM(AC92:AI92)</f>
        <v>0</v>
      </c>
      <c r="AL92" s="97">
        <f>IF(C92=2015, AK92/3,AK92)+AJ92</f>
        <v>0</v>
      </c>
    </row>
    <row r="93" spans="1:38" x14ac:dyDescent="0.25">
      <c r="A93" s="71" t="s">
        <v>612</v>
      </c>
      <c r="B93" s="71" t="s">
        <v>63</v>
      </c>
      <c r="C93" s="72">
        <v>2013</v>
      </c>
      <c r="D93" s="1">
        <f>R93+F93+E93</f>
        <v>212</v>
      </c>
      <c r="E93" s="233">
        <f>0+15</f>
        <v>15</v>
      </c>
      <c r="G93" s="154"/>
      <c r="I93" s="205">
        <f>14+14</f>
        <v>28</v>
      </c>
      <c r="J93" s="196">
        <f>22+18</f>
        <v>40</v>
      </c>
      <c r="K93" s="186">
        <f>36+10</f>
        <v>46</v>
      </c>
      <c r="L93" s="170">
        <f>28+2+3</f>
        <v>33</v>
      </c>
      <c r="M93" s="50">
        <f>22+4+3+6</f>
        <v>35</v>
      </c>
      <c r="N93" s="50">
        <f>0+2</f>
        <v>2</v>
      </c>
      <c r="O93" s="219">
        <f>AA93</f>
        <v>13</v>
      </c>
      <c r="P93" s="154"/>
      <c r="Q93" s="96">
        <f>AC93+I93+J93+K93+L93+M93+N93+O93</f>
        <v>197</v>
      </c>
      <c r="R93" s="97">
        <f>IF(C93=2017, Q93/3,Q93)+P93</f>
        <v>197</v>
      </c>
      <c r="S93" s="209"/>
      <c r="T93" s="209"/>
      <c r="V93" s="50">
        <f>13</f>
        <v>13</v>
      </c>
      <c r="Y93" s="120"/>
      <c r="Z93" s="96">
        <f>SUM(U93:X93)</f>
        <v>13</v>
      </c>
      <c r="AA93" s="97">
        <f>IF(C93=2016, Z93/3,Z93)+Y93</f>
        <v>13</v>
      </c>
      <c r="AB93" s="22"/>
      <c r="AC93" s="191"/>
      <c r="AD93" s="191"/>
      <c r="AE93" s="191"/>
      <c r="AF93" s="191"/>
      <c r="AG93" s="191"/>
      <c r="AH93" s="191"/>
      <c r="AJ93" s="95"/>
      <c r="AK93" s="96">
        <f>SUM(AC93:AI93)</f>
        <v>0</v>
      </c>
      <c r="AL93" s="97">
        <f>IF(C93=2015, AK93/3,AK93)+AJ93</f>
        <v>0</v>
      </c>
    </row>
    <row r="94" spans="1:38" x14ac:dyDescent="0.25">
      <c r="A94" s="45" t="s">
        <v>894</v>
      </c>
      <c r="B94" s="66" t="s">
        <v>406</v>
      </c>
      <c r="C94" s="46">
        <v>2014</v>
      </c>
      <c r="D94" s="1">
        <f>R94+F94+E94</f>
        <v>28</v>
      </c>
      <c r="E94" s="156"/>
      <c r="F94" s="156"/>
      <c r="G94" s="154"/>
      <c r="H94" s="156"/>
      <c r="I94" s="156">
        <f>5</f>
        <v>5</v>
      </c>
      <c r="J94" s="156"/>
      <c r="K94" s="156"/>
      <c r="L94" s="156">
        <f>23</f>
        <v>23</v>
      </c>
      <c r="M94" s="156"/>
      <c r="N94" s="156"/>
      <c r="O94" s="219">
        <f>AA94</f>
        <v>0</v>
      </c>
      <c r="P94" s="154"/>
      <c r="Q94" s="96">
        <f>AC94+I94+J94+K94+L94+M94+N94+O94</f>
        <v>28</v>
      </c>
      <c r="R94" s="97">
        <f>IF(C94=2017, Q94/3,Q94)+P94</f>
        <v>28</v>
      </c>
      <c r="U94" s="205"/>
      <c r="V94" s="205"/>
      <c r="W94" s="205"/>
      <c r="X94" s="205"/>
      <c r="Y94" s="120"/>
      <c r="Z94" s="96">
        <f>SUM(U94:X94)</f>
        <v>0</v>
      </c>
      <c r="AA94" s="97">
        <f>IF(C94=2016, Z94/3,Z94)+Y94</f>
        <v>0</v>
      </c>
      <c r="AB94" s="101"/>
      <c r="AC94" s="153"/>
      <c r="AD94" s="153"/>
      <c r="AE94" s="153"/>
      <c r="AF94" s="153"/>
      <c r="AG94" s="153"/>
      <c r="AH94" s="153"/>
      <c r="AI94" s="13"/>
      <c r="AJ94" s="95"/>
      <c r="AK94" s="96"/>
      <c r="AL94" s="97"/>
    </row>
    <row r="95" spans="1:38" x14ac:dyDescent="0.25">
      <c r="A95" s="11" t="s">
        <v>113</v>
      </c>
      <c r="B95" s="60" t="s">
        <v>63</v>
      </c>
      <c r="C95" s="62">
        <v>2014</v>
      </c>
      <c r="D95" s="1">
        <f>R95+F95+E95</f>
        <v>120</v>
      </c>
      <c r="G95" s="120"/>
      <c r="I95" s="219">
        <f>46+4</f>
        <v>50</v>
      </c>
      <c r="J95" s="219">
        <f>0</f>
        <v>0</v>
      </c>
      <c r="K95" s="219">
        <f>3</f>
        <v>3</v>
      </c>
      <c r="L95" s="219">
        <f>0+3</f>
        <v>3</v>
      </c>
      <c r="M95" s="219">
        <f>15+3+6</f>
        <v>24</v>
      </c>
      <c r="N95" s="219">
        <f>6</f>
        <v>6</v>
      </c>
      <c r="O95" s="219">
        <f>AA95</f>
        <v>34</v>
      </c>
      <c r="P95" s="120"/>
      <c r="Q95" s="96">
        <f>AC95+I95+J95+K95+L95+M95+N95+O95</f>
        <v>120</v>
      </c>
      <c r="R95" s="97">
        <f>IF(C95=2017, Q95/3,Q95)+P95</f>
        <v>120</v>
      </c>
      <c r="S95" s="209"/>
      <c r="T95" s="209"/>
      <c r="U95" s="219"/>
      <c r="V95" s="219">
        <f>12</f>
        <v>12</v>
      </c>
      <c r="W95" s="219"/>
      <c r="X95" s="219">
        <f>AL95</f>
        <v>22</v>
      </c>
      <c r="Y95" s="120"/>
      <c r="Z95" s="96">
        <f>SUM(U95:X95)</f>
        <v>34</v>
      </c>
      <c r="AA95" s="97">
        <f>IF(C95=2016, Z95/3,Z95)+Y95</f>
        <v>34</v>
      </c>
      <c r="AB95" s="22"/>
      <c r="AC95" s="41"/>
      <c r="AD95" s="41">
        <v>0</v>
      </c>
      <c r="AE95" s="41">
        <f>18</f>
        <v>18</v>
      </c>
      <c r="AF95" s="41">
        <f>0</f>
        <v>0</v>
      </c>
      <c r="AG95" s="41">
        <f>0</f>
        <v>0</v>
      </c>
      <c r="AH95" s="41"/>
      <c r="AI95" s="13">
        <f>4</f>
        <v>4</v>
      </c>
      <c r="AJ95" s="95"/>
      <c r="AK95" s="96">
        <f>SUM(AC95:AI95)</f>
        <v>22</v>
      </c>
      <c r="AL95" s="97">
        <f>IF(C95=2015, AK95/3,AK95)+AJ95</f>
        <v>22</v>
      </c>
    </row>
    <row r="96" spans="1:38" x14ac:dyDescent="0.25">
      <c r="A96" s="45" t="s">
        <v>871</v>
      </c>
      <c r="B96" s="66" t="s">
        <v>479</v>
      </c>
      <c r="C96" s="46">
        <v>2014</v>
      </c>
      <c r="D96" s="1">
        <f>R96+F96+E96</f>
        <v>3</v>
      </c>
      <c r="E96" s="156"/>
      <c r="F96" s="156"/>
      <c r="G96" s="154"/>
      <c r="H96" s="156"/>
      <c r="I96" s="156"/>
      <c r="J96" s="156"/>
      <c r="K96" s="156"/>
      <c r="L96" s="156"/>
      <c r="M96" s="156">
        <f>2+1</f>
        <v>3</v>
      </c>
      <c r="N96" s="156"/>
      <c r="O96" s="219">
        <f>AA96</f>
        <v>0</v>
      </c>
      <c r="P96" s="154"/>
      <c r="Q96" s="96">
        <f>AC96+I96+J96+K96+L96+M96+N96+O96</f>
        <v>3</v>
      </c>
      <c r="R96" s="97">
        <f>IF(C96=2017, Q96/3,Q96)+P96</f>
        <v>3</v>
      </c>
      <c r="U96" s="219"/>
      <c r="V96" s="219"/>
      <c r="W96" s="219"/>
      <c r="X96" s="219"/>
      <c r="Y96" s="120"/>
      <c r="Z96" s="96">
        <f>SUM(U96:X96)</f>
        <v>0</v>
      </c>
      <c r="AA96" s="97">
        <f>IF(C96=2016, Z96/3,Z96)+Y96</f>
        <v>0</v>
      </c>
      <c r="AB96" s="101"/>
      <c r="AC96" s="153"/>
      <c r="AD96" s="153"/>
      <c r="AE96" s="153"/>
      <c r="AF96" s="153"/>
      <c r="AG96" s="153"/>
      <c r="AH96" s="153"/>
      <c r="AI96" s="13"/>
      <c r="AJ96" s="95"/>
      <c r="AK96" s="96"/>
      <c r="AL96" s="97"/>
    </row>
    <row r="97" spans="1:38" x14ac:dyDescent="0.25">
      <c r="A97" s="45" t="s">
        <v>83</v>
      </c>
      <c r="B97" s="66" t="s">
        <v>64</v>
      </c>
      <c r="C97" s="46">
        <v>2015</v>
      </c>
      <c r="D97" s="1">
        <f>R97+F97+E97</f>
        <v>10</v>
      </c>
      <c r="E97" s="233">
        <f>0</f>
        <v>0</v>
      </c>
      <c r="G97" s="120"/>
      <c r="O97" s="219">
        <f>AA97</f>
        <v>10</v>
      </c>
      <c r="P97" s="120"/>
      <c r="Q97" s="96">
        <f>AC97+I97+J97+K97+L97+M97+N97+O97</f>
        <v>10</v>
      </c>
      <c r="R97" s="97">
        <f>IF(C97=2017, Q97/3,Q97)+P97</f>
        <v>10</v>
      </c>
      <c r="S97" s="209"/>
      <c r="T97" s="209"/>
      <c r="X97" s="50">
        <f>AL97</f>
        <v>10</v>
      </c>
      <c r="Y97" s="120"/>
      <c r="Z97" s="96">
        <f>SUM(U97:X97)</f>
        <v>10</v>
      </c>
      <c r="AA97" s="97">
        <f>IF(C97=2016, Z97/3,Z97)+Y97</f>
        <v>10</v>
      </c>
      <c r="AB97" s="101"/>
      <c r="AC97" s="41"/>
      <c r="AD97" s="41">
        <v>0</v>
      </c>
      <c r="AE97" s="41">
        <f>30</f>
        <v>30</v>
      </c>
      <c r="AF97" s="41"/>
      <c r="AG97" s="41"/>
      <c r="AH97" s="41"/>
      <c r="AI97" s="13"/>
      <c r="AJ97" s="95"/>
      <c r="AK97" s="96">
        <f>SUM(AC97:AI97)</f>
        <v>30</v>
      </c>
      <c r="AL97" s="97">
        <f>IF(C97=2015, AK97/3,AK97)+AJ97</f>
        <v>10</v>
      </c>
    </row>
    <row r="98" spans="1:38" x14ac:dyDescent="0.25">
      <c r="A98" s="11" t="s">
        <v>44</v>
      </c>
      <c r="B98" s="11" t="s">
        <v>36</v>
      </c>
      <c r="C98" s="3">
        <v>2013</v>
      </c>
      <c r="D98" s="1">
        <f>R98+F98+E98</f>
        <v>233</v>
      </c>
      <c r="E98" s="237"/>
      <c r="F98" s="237"/>
      <c r="G98" s="120"/>
      <c r="H98" s="237"/>
      <c r="I98" s="237"/>
      <c r="J98" s="237"/>
      <c r="K98" s="237"/>
      <c r="L98" s="237">
        <f>16</f>
        <v>16</v>
      </c>
      <c r="M98" s="237"/>
      <c r="N98" s="237"/>
      <c r="O98" s="219">
        <f>AA98</f>
        <v>215</v>
      </c>
      <c r="P98" s="120"/>
      <c r="Q98" s="96">
        <f>AC98+I98+J98+K98+L98+M98+N98+O98</f>
        <v>233</v>
      </c>
      <c r="R98" s="97">
        <f>IF(C98=2017, Q98/3,Q98)+P98</f>
        <v>233</v>
      </c>
      <c r="S98" s="238"/>
      <c r="T98" s="238"/>
      <c r="U98" s="237">
        <f>36</f>
        <v>36</v>
      </c>
      <c r="V98" s="237">
        <f>50</f>
        <v>50</v>
      </c>
      <c r="W98" s="237">
        <f>42</f>
        <v>42</v>
      </c>
      <c r="X98" s="237">
        <f>AL98</f>
        <v>87</v>
      </c>
      <c r="Y98" s="120"/>
      <c r="Z98" s="96">
        <f>SUM(U98:X98)</f>
        <v>215</v>
      </c>
      <c r="AA98" s="97">
        <f>IF(C98=2016, Z98/3,Z98)+Y98</f>
        <v>215</v>
      </c>
      <c r="AB98" s="22"/>
      <c r="AC98" s="237">
        <v>2</v>
      </c>
      <c r="AD98" s="237"/>
      <c r="AE98" s="237">
        <f>21</f>
        <v>21</v>
      </c>
      <c r="AF98" s="237">
        <f>28</f>
        <v>28</v>
      </c>
      <c r="AG98" s="237">
        <v>36</v>
      </c>
      <c r="AH98" s="237">
        <f>0</f>
        <v>0</v>
      </c>
      <c r="AI98" s="240"/>
      <c r="AJ98" s="95"/>
      <c r="AK98" s="96">
        <f>SUM(AC98:AI98)</f>
        <v>87</v>
      </c>
      <c r="AL98" s="97">
        <f>IF(C98=2015, AK98/3,AK98)+AJ98</f>
        <v>87</v>
      </c>
    </row>
    <row r="99" spans="1:38" x14ac:dyDescent="0.25">
      <c r="A99" s="45" t="s">
        <v>888</v>
      </c>
      <c r="B99" s="66" t="s">
        <v>6</v>
      </c>
      <c r="C99" s="46">
        <v>2015</v>
      </c>
      <c r="D99" s="1">
        <f>R99+F99+E99</f>
        <v>92</v>
      </c>
      <c r="E99" s="156">
        <f>38+11</f>
        <v>49</v>
      </c>
      <c r="F99" s="156"/>
      <c r="G99" s="154"/>
      <c r="H99" s="156"/>
      <c r="I99" s="156"/>
      <c r="J99" s="156"/>
      <c r="K99" s="156"/>
      <c r="L99" s="156">
        <f>43</f>
        <v>43</v>
      </c>
      <c r="M99" s="156"/>
      <c r="N99" s="156"/>
      <c r="O99" s="219">
        <f>AA99</f>
        <v>0</v>
      </c>
      <c r="P99" s="154"/>
      <c r="Q99" s="96">
        <f>AC99+I99+J99+K99+L99+M99+N99+O99</f>
        <v>43</v>
      </c>
      <c r="R99" s="97">
        <f>IF(C99=2017, Q99/3,Q99)+P99</f>
        <v>43</v>
      </c>
      <c r="U99" s="237"/>
      <c r="V99" s="237"/>
      <c r="W99" s="237"/>
      <c r="X99" s="237"/>
      <c r="Y99" s="120"/>
      <c r="Z99" s="96">
        <f>SUM(U99:X99)</f>
        <v>0</v>
      </c>
      <c r="AA99" s="97">
        <f>IF(C99=2016, Z99/3,Z99)+Y99</f>
        <v>0</v>
      </c>
      <c r="AB99" s="101"/>
      <c r="AC99" s="153"/>
      <c r="AD99" s="153"/>
      <c r="AE99" s="153"/>
      <c r="AF99" s="153"/>
      <c r="AG99" s="153"/>
      <c r="AH99" s="153"/>
      <c r="AI99" s="13"/>
      <c r="AJ99" s="95"/>
      <c r="AK99" s="96"/>
      <c r="AL99" s="97"/>
    </row>
    <row r="100" spans="1:38" x14ac:dyDescent="0.25">
      <c r="A100" s="11" t="s">
        <v>489</v>
      </c>
      <c r="B100" s="11" t="s">
        <v>7</v>
      </c>
      <c r="C100" s="3">
        <v>2014</v>
      </c>
      <c r="D100" s="1">
        <f>R100+F100+E100</f>
        <v>99</v>
      </c>
      <c r="G100" s="120"/>
      <c r="I100" s="219"/>
      <c r="J100" s="219"/>
      <c r="K100" s="219"/>
      <c r="L100" s="219"/>
      <c r="M100" s="219"/>
      <c r="N100" s="219"/>
      <c r="O100" s="219">
        <f>AA100</f>
        <v>99</v>
      </c>
      <c r="P100" s="120"/>
      <c r="Q100" s="96">
        <f>AC100+I100+J100+K100+L100+M100+N100+O100</f>
        <v>99</v>
      </c>
      <c r="R100" s="97">
        <f>IF(C100=2017, Q100/3,Q100)+P100</f>
        <v>99</v>
      </c>
      <c r="S100" s="209"/>
      <c r="T100" s="209"/>
      <c r="U100" s="219">
        <f>8+24</f>
        <v>32</v>
      </c>
      <c r="V100" s="219">
        <f>12</f>
        <v>12</v>
      </c>
      <c r="W100" s="219">
        <f>16+21+1</f>
        <v>38</v>
      </c>
      <c r="X100" s="219">
        <f>AL100</f>
        <v>17</v>
      </c>
      <c r="Y100" s="120"/>
      <c r="Z100" s="96">
        <f>SUM(U100:X100)</f>
        <v>99</v>
      </c>
      <c r="AA100" s="97">
        <f>IF(C100=2016, Z100/3,Z100)+Y100</f>
        <v>99</v>
      </c>
      <c r="AB100" s="22"/>
      <c r="AC100" s="237"/>
      <c r="AD100" s="237"/>
      <c r="AE100" s="237"/>
      <c r="AF100" s="237"/>
      <c r="AG100" s="237"/>
      <c r="AH100" s="237">
        <f>0+15+2</f>
        <v>17</v>
      </c>
      <c r="AI100" s="240"/>
      <c r="AJ100" s="95"/>
      <c r="AK100" s="96">
        <f>SUM(AC100:AI100)</f>
        <v>17</v>
      </c>
      <c r="AL100" s="97">
        <f>IF(C100=2015, AK100/3,AK100)+AJ100</f>
        <v>17</v>
      </c>
    </row>
    <row r="101" spans="1:38" x14ac:dyDescent="0.25">
      <c r="A101" s="11" t="s">
        <v>740</v>
      </c>
      <c r="B101" s="11" t="s">
        <v>63</v>
      </c>
      <c r="C101" s="3">
        <v>2014</v>
      </c>
      <c r="D101" s="1">
        <f>R101+F101+E101</f>
        <v>39</v>
      </c>
      <c r="G101" s="154"/>
      <c r="I101" s="219">
        <f>0</f>
        <v>0</v>
      </c>
      <c r="J101" s="219"/>
      <c r="K101" s="219">
        <f>0</f>
        <v>0</v>
      </c>
      <c r="L101" s="219"/>
      <c r="M101" s="219">
        <f>23</f>
        <v>23</v>
      </c>
      <c r="N101" s="219">
        <f>16</f>
        <v>16</v>
      </c>
      <c r="O101" s="219">
        <f>AA101</f>
        <v>0</v>
      </c>
      <c r="P101" s="154"/>
      <c r="Q101" s="96">
        <f>AC101+I101+J101+K101+L101+M101+N101+O101</f>
        <v>39</v>
      </c>
      <c r="R101" s="97">
        <f>IF(C101=2017, Q101/3,Q101)+P101</f>
        <v>39</v>
      </c>
      <c r="S101" s="222"/>
      <c r="T101" s="222"/>
      <c r="U101" s="219"/>
      <c r="V101" s="219"/>
      <c r="W101" s="219"/>
      <c r="X101" s="219"/>
      <c r="Y101" s="120"/>
      <c r="Z101" s="96">
        <f>SUM(U101:X101)</f>
        <v>0</v>
      </c>
      <c r="AA101" s="97">
        <f>IF(C101=2016, Z101/3,Z101)+Y101</f>
        <v>0</v>
      </c>
      <c r="AB101" s="22"/>
      <c r="AC101" s="219"/>
      <c r="AD101" s="219"/>
      <c r="AE101" s="219"/>
      <c r="AF101" s="219"/>
      <c r="AG101" s="219"/>
      <c r="AH101" s="219"/>
      <c r="AJ101" s="95"/>
      <c r="AK101" s="96">
        <f>SUM(AC101:AI101)</f>
        <v>0</v>
      </c>
      <c r="AL101" s="97">
        <f>IF(C101=2015, AK101/3,AK101)+AJ101</f>
        <v>0</v>
      </c>
    </row>
    <row r="102" spans="1:38" x14ac:dyDescent="0.25">
      <c r="A102" s="11" t="s">
        <v>624</v>
      </c>
      <c r="B102" s="11" t="s">
        <v>602</v>
      </c>
      <c r="D102" s="1">
        <f>R102+F102+E102</f>
        <v>48</v>
      </c>
      <c r="G102" s="154"/>
      <c r="I102" s="219"/>
      <c r="J102" s="219"/>
      <c r="K102" s="219"/>
      <c r="L102" s="219"/>
      <c r="M102" s="219"/>
      <c r="N102" s="219"/>
      <c r="O102" s="219">
        <f>AA102</f>
        <v>48</v>
      </c>
      <c r="P102" s="154"/>
      <c r="Q102" s="96">
        <f>AC102+I102+J102+K102+L102+M102+N102+O102</f>
        <v>48</v>
      </c>
      <c r="R102" s="97">
        <f>IF(C102=2017, Q102/3,Q102)+P102</f>
        <v>48</v>
      </c>
      <c r="S102" s="238"/>
      <c r="T102" s="238"/>
      <c r="U102" s="219"/>
      <c r="V102" s="219">
        <f>48</f>
        <v>48</v>
      </c>
      <c r="W102" s="219"/>
      <c r="X102" s="219"/>
      <c r="Y102" s="120"/>
      <c r="Z102" s="96">
        <f>SUM(U102:X102)</f>
        <v>48</v>
      </c>
      <c r="AA102" s="97">
        <f>IF(C102=2016, Z102/3,Z102)+Y102</f>
        <v>48</v>
      </c>
      <c r="AB102" s="22"/>
      <c r="AC102" s="219"/>
      <c r="AD102" s="219"/>
      <c r="AE102" s="219"/>
      <c r="AF102" s="219"/>
      <c r="AG102" s="219"/>
      <c r="AH102" s="219"/>
      <c r="AJ102" s="95"/>
      <c r="AK102" s="96">
        <f>SUM(AC102:AI102)</f>
        <v>0</v>
      </c>
      <c r="AL102" s="97">
        <f>IF(C102=2015, AK102/3,AK102)+AJ102</f>
        <v>0</v>
      </c>
    </row>
    <row r="103" spans="1:38" x14ac:dyDescent="0.25">
      <c r="A103" s="11" t="s">
        <v>772</v>
      </c>
      <c r="B103" s="11" t="s">
        <v>64</v>
      </c>
      <c r="C103" s="3">
        <v>2013</v>
      </c>
      <c r="D103" s="1">
        <f>R103+F103+E103</f>
        <v>25</v>
      </c>
      <c r="E103" s="233">
        <f>8</f>
        <v>8</v>
      </c>
      <c r="G103" s="154"/>
      <c r="J103" s="205"/>
      <c r="K103" s="205"/>
      <c r="L103" s="205">
        <f>6</f>
        <v>6</v>
      </c>
      <c r="M103" s="205">
        <f>0</f>
        <v>0</v>
      </c>
      <c r="N103" s="205">
        <f>11</f>
        <v>11</v>
      </c>
      <c r="O103" s="219">
        <f>AA103</f>
        <v>0</v>
      </c>
      <c r="P103" s="154"/>
      <c r="Q103" s="96">
        <f>AC103+I103+J103+K103+L103+M103+N103+O103</f>
        <v>17</v>
      </c>
      <c r="R103" s="97">
        <f>IF(C103=2017, Q103/3,Q103)+P103</f>
        <v>17</v>
      </c>
      <c r="S103" s="209"/>
      <c r="T103" s="209"/>
      <c r="U103" s="205"/>
      <c r="V103" s="205"/>
      <c r="W103" s="205"/>
      <c r="X103" s="205"/>
      <c r="Y103" s="120"/>
      <c r="Z103" s="96">
        <f>SUM(U103:X103)</f>
        <v>0</v>
      </c>
      <c r="AA103" s="97">
        <f>IF(C103=2016, Z103/3,Z103)+Y103</f>
        <v>0</v>
      </c>
      <c r="AB103" s="22"/>
      <c r="AC103" s="237"/>
      <c r="AD103" s="237"/>
      <c r="AE103" s="237"/>
      <c r="AF103" s="237"/>
      <c r="AG103" s="237"/>
      <c r="AH103" s="237"/>
      <c r="AI103" s="240"/>
      <c r="AJ103" s="95"/>
      <c r="AK103" s="96"/>
      <c r="AL103" s="97"/>
    </row>
    <row r="104" spans="1:38" x14ac:dyDescent="0.25">
      <c r="A104" s="45" t="s">
        <v>291</v>
      </c>
      <c r="B104" s="66" t="s">
        <v>63</v>
      </c>
      <c r="C104" s="46">
        <v>2017</v>
      </c>
      <c r="D104" s="1">
        <f>R104+F104+E104</f>
        <v>0</v>
      </c>
      <c r="E104" s="108"/>
      <c r="F104" s="108"/>
      <c r="G104" s="122"/>
      <c r="H104" s="108"/>
      <c r="I104" s="108"/>
      <c r="J104" s="108"/>
      <c r="K104" s="108"/>
      <c r="L104" s="108"/>
      <c r="M104" s="108"/>
      <c r="N104" s="108"/>
      <c r="O104" s="219">
        <f>AA104</f>
        <v>0</v>
      </c>
      <c r="P104" s="122"/>
      <c r="Q104" s="96">
        <f>AC104+I104+J104+K104+L104+M104+N104+O104</f>
        <v>0</v>
      </c>
      <c r="R104" s="97">
        <f>IF(C104=2017, Q104/3,Q104)+P104</f>
        <v>0</v>
      </c>
      <c r="S104" s="101"/>
      <c r="T104" s="108"/>
      <c r="U104" s="108"/>
      <c r="V104" s="108"/>
      <c r="W104" s="108"/>
      <c r="X104" s="108">
        <f>AL104</f>
        <v>0</v>
      </c>
      <c r="Y104" s="122"/>
      <c r="Z104" s="96">
        <f>SUM(U104:X104)</f>
        <v>0</v>
      </c>
      <c r="AA104" s="97">
        <f>IF(C104=2016, Z104/3,Z104)+Y104</f>
        <v>0</v>
      </c>
      <c r="AB104" s="101"/>
      <c r="AC104" s="41"/>
      <c r="AD104" s="41"/>
      <c r="AE104" s="41">
        <f>0</f>
        <v>0</v>
      </c>
      <c r="AF104" s="41"/>
      <c r="AG104" s="41"/>
      <c r="AH104" s="41"/>
      <c r="AI104" s="13"/>
      <c r="AK104" s="3">
        <f>SUM(AC104:AJ104)</f>
        <v>0</v>
      </c>
      <c r="AL104" s="3">
        <f>AK104</f>
        <v>0</v>
      </c>
    </row>
    <row r="105" spans="1:38" x14ac:dyDescent="0.25">
      <c r="A105" s="45" t="s">
        <v>70</v>
      </c>
      <c r="B105" s="66" t="s">
        <v>63</v>
      </c>
      <c r="C105" s="46">
        <v>2016</v>
      </c>
      <c r="D105" s="1">
        <f>R105+F105+E105</f>
        <v>4</v>
      </c>
      <c r="E105" s="156"/>
      <c r="F105" s="156"/>
      <c r="G105" s="122"/>
      <c r="H105" s="156"/>
      <c r="I105" s="156"/>
      <c r="J105" s="156"/>
      <c r="K105" s="156"/>
      <c r="L105" s="156"/>
      <c r="M105" s="156"/>
      <c r="N105" s="156"/>
      <c r="O105" s="219">
        <f>AA105</f>
        <v>4</v>
      </c>
      <c r="P105" s="122"/>
      <c r="Q105" s="96">
        <f>AC105+I105+J105+K105+L105+M105+N105+O105</f>
        <v>4</v>
      </c>
      <c r="R105" s="97">
        <f>IF(C105=2017, Q105/3,Q105)+P105</f>
        <v>4</v>
      </c>
      <c r="S105" s="209"/>
      <c r="T105" s="209"/>
      <c r="U105" s="108"/>
      <c r="V105" s="108"/>
      <c r="W105" s="108"/>
      <c r="X105" s="108">
        <f>AL105</f>
        <v>12</v>
      </c>
      <c r="Y105" s="122"/>
      <c r="Z105" s="96">
        <f>SUM(U105:X105)</f>
        <v>12</v>
      </c>
      <c r="AA105" s="97">
        <f>IF(C105=2016, Z105/3,Z105)+Y105</f>
        <v>4</v>
      </c>
      <c r="AB105" s="101"/>
      <c r="AC105" s="41"/>
      <c r="AD105" s="41">
        <v>12</v>
      </c>
      <c r="AE105" s="41"/>
      <c r="AF105" s="41"/>
      <c r="AG105" s="41"/>
      <c r="AH105" s="41"/>
      <c r="AI105" s="217"/>
      <c r="AK105" s="96">
        <f>SUM(AC105:AI105)</f>
        <v>12</v>
      </c>
      <c r="AL105" s="97">
        <f>IF(C105=2015, AK105/3,AK105)+AJ105</f>
        <v>12</v>
      </c>
    </row>
    <row r="106" spans="1:38" x14ac:dyDescent="0.25">
      <c r="A106" s="45" t="s">
        <v>935</v>
      </c>
      <c r="B106" s="66" t="s">
        <v>63</v>
      </c>
      <c r="C106" s="46">
        <v>2015</v>
      </c>
      <c r="D106" s="1">
        <f>R106+F106+E106</f>
        <v>186</v>
      </c>
      <c r="G106" s="120"/>
      <c r="J106" s="196">
        <f>22</f>
        <v>22</v>
      </c>
      <c r="K106" s="186">
        <f>0+6</f>
        <v>6</v>
      </c>
      <c r="L106" s="170">
        <f>16+4</f>
        <v>20</v>
      </c>
      <c r="M106" s="50">
        <f>72+4</f>
        <v>76</v>
      </c>
      <c r="N106" s="50">
        <f>0</f>
        <v>0</v>
      </c>
      <c r="O106" s="219">
        <f>AA106</f>
        <v>62</v>
      </c>
      <c r="P106" s="120"/>
      <c r="Q106" s="96">
        <f>AC106+I106+J106+K106+L106+M106+N106+O106</f>
        <v>186</v>
      </c>
      <c r="R106" s="97">
        <f>IF(C106=2017, Q106/3,Q106)+P106</f>
        <v>186</v>
      </c>
      <c r="S106" s="238"/>
      <c r="T106" s="238"/>
      <c r="V106" s="50">
        <f>43</f>
        <v>43</v>
      </c>
      <c r="X106" s="50">
        <f>AL106</f>
        <v>19</v>
      </c>
      <c r="Y106" s="120"/>
      <c r="Z106" s="96">
        <f>SUM(U106:X106)</f>
        <v>62</v>
      </c>
      <c r="AA106" s="97">
        <f>IF(C106=2016, Z106/3,Z106)+Y106</f>
        <v>62</v>
      </c>
      <c r="AB106" s="101"/>
      <c r="AC106" s="41"/>
      <c r="AD106" s="41">
        <v>39</v>
      </c>
      <c r="AE106" s="41">
        <f>18</f>
        <v>18</v>
      </c>
      <c r="AF106" s="41">
        <f>0</f>
        <v>0</v>
      </c>
      <c r="AG106" s="41"/>
      <c r="AH106" s="41"/>
      <c r="AI106" s="236"/>
      <c r="AJ106" s="95"/>
      <c r="AK106" s="96">
        <f>SUM(AC106:AI106)</f>
        <v>57</v>
      </c>
      <c r="AL106" s="97">
        <f>IF(C106=2015, AK106/3,AK106)+AJ106</f>
        <v>19</v>
      </c>
    </row>
    <row r="107" spans="1:38" x14ac:dyDescent="0.25">
      <c r="A107" s="11" t="s">
        <v>818</v>
      </c>
      <c r="B107" s="11" t="s">
        <v>587</v>
      </c>
      <c r="C107" s="3">
        <v>2013</v>
      </c>
      <c r="D107" s="1">
        <f>R107+F107+E107</f>
        <v>3</v>
      </c>
      <c r="G107" s="154"/>
      <c r="N107" s="50">
        <f>3</f>
        <v>3</v>
      </c>
      <c r="O107" s="219">
        <f>AA107</f>
        <v>0</v>
      </c>
      <c r="P107" s="154"/>
      <c r="Q107" s="96">
        <f>AC107+I107+J107+K107+L107+M107+N107+O107</f>
        <v>3</v>
      </c>
      <c r="R107" s="97">
        <f>IF(C107=2017, Q107/3,Q107)+P107</f>
        <v>3</v>
      </c>
      <c r="S107" s="209"/>
      <c r="T107" s="209"/>
      <c r="Y107" s="120"/>
      <c r="Z107" s="96">
        <f>SUM(U107:X107)</f>
        <v>0</v>
      </c>
      <c r="AA107" s="97">
        <f>IF(C107=2016, Z107/3,Z107)+Y107</f>
        <v>0</v>
      </c>
      <c r="AB107" s="22"/>
      <c r="AC107" s="219"/>
      <c r="AD107" s="219"/>
      <c r="AE107" s="219"/>
      <c r="AF107" s="219"/>
      <c r="AG107" s="219"/>
      <c r="AH107" s="219"/>
      <c r="AJ107" s="95"/>
      <c r="AK107" s="96"/>
      <c r="AL107" s="97"/>
    </row>
    <row r="108" spans="1:38" x14ac:dyDescent="0.25">
      <c r="A108" s="11" t="s">
        <v>876</v>
      </c>
      <c r="B108" s="11" t="s">
        <v>479</v>
      </c>
      <c r="C108" s="3">
        <v>2016</v>
      </c>
      <c r="D108" s="1">
        <f>R108+F108+E108</f>
        <v>1</v>
      </c>
      <c r="G108" s="154"/>
      <c r="M108" s="50">
        <f>1</f>
        <v>1</v>
      </c>
      <c r="O108" s="219">
        <f>AA108</f>
        <v>0</v>
      </c>
      <c r="P108" s="154"/>
      <c r="Q108" s="96">
        <f>AC108+I108+J108+K108+L108+M108+N108+O108</f>
        <v>1</v>
      </c>
      <c r="R108" s="97">
        <f>IF(C108=2017, Q108/3,Q108)+P108</f>
        <v>1</v>
      </c>
      <c r="Y108" s="120"/>
      <c r="Z108" s="96">
        <f>SUM(U108:X108)</f>
        <v>0</v>
      </c>
      <c r="AA108" s="97">
        <f>IF(C108=2016, Z108/3,Z108)+Y108</f>
        <v>0</v>
      </c>
      <c r="AB108" s="22"/>
      <c r="AC108" s="219"/>
      <c r="AD108" s="219"/>
      <c r="AE108" s="219"/>
      <c r="AF108" s="219"/>
      <c r="AG108" s="219"/>
      <c r="AH108" s="219"/>
      <c r="AJ108" s="95"/>
      <c r="AK108" s="96"/>
      <c r="AL108" s="97"/>
    </row>
    <row r="109" spans="1:38" x14ac:dyDescent="0.25">
      <c r="A109" s="11" t="s">
        <v>323</v>
      </c>
      <c r="B109" s="60" t="s">
        <v>111</v>
      </c>
      <c r="C109" s="62">
        <v>2014</v>
      </c>
      <c r="D109" s="1">
        <f>R109+F109+E109</f>
        <v>2</v>
      </c>
      <c r="G109" s="120"/>
      <c r="O109" s="219">
        <f>AA109</f>
        <v>2</v>
      </c>
      <c r="P109" s="120"/>
      <c r="Q109" s="96">
        <f>AC109+I109+J109+K109+L109+M109+N109+O109</f>
        <v>2</v>
      </c>
      <c r="R109" s="97">
        <f>IF(C109=2017, Q109/3,Q109)+P109</f>
        <v>2</v>
      </c>
      <c r="S109" s="238"/>
      <c r="T109" s="238"/>
      <c r="X109" s="50">
        <f>AL109</f>
        <v>2</v>
      </c>
      <c r="Y109" s="120"/>
      <c r="Z109" s="96">
        <f>SUM(U109:X109)</f>
        <v>2</v>
      </c>
      <c r="AA109" s="97">
        <f>IF(C109=2016, Z109/3,Z109)+Y109</f>
        <v>2</v>
      </c>
      <c r="AB109" s="22"/>
      <c r="AC109" s="41"/>
      <c r="AD109" s="41"/>
      <c r="AE109" s="41"/>
      <c r="AF109" s="41">
        <f>0+2</f>
        <v>2</v>
      </c>
      <c r="AG109" s="41"/>
      <c r="AH109" s="41"/>
      <c r="AI109" s="13"/>
      <c r="AJ109" s="95"/>
      <c r="AK109" s="96">
        <f>SUM(AC109:AI109)</f>
        <v>2</v>
      </c>
      <c r="AL109" s="97">
        <f>IF(C109=2015, AK109/3,AK109)+AJ109</f>
        <v>2</v>
      </c>
    </row>
    <row r="110" spans="1:38" x14ac:dyDescent="0.25">
      <c r="A110" s="45" t="s">
        <v>428</v>
      </c>
      <c r="B110" s="66" t="s">
        <v>0</v>
      </c>
      <c r="C110" s="46">
        <v>2016</v>
      </c>
      <c r="D110" s="1">
        <f>R110+F110+E110</f>
        <v>139.33333333333334</v>
      </c>
      <c r="E110" s="156">
        <f>8</f>
        <v>8</v>
      </c>
      <c r="F110" s="156"/>
      <c r="G110" s="122"/>
      <c r="H110" s="156"/>
      <c r="I110" s="156">
        <f>30</f>
        <v>30</v>
      </c>
      <c r="J110" s="156">
        <f>50+10</f>
        <v>60</v>
      </c>
      <c r="K110" s="156">
        <f>26+2</f>
        <v>28</v>
      </c>
      <c r="L110" s="156"/>
      <c r="M110" s="156"/>
      <c r="N110" s="156"/>
      <c r="O110" s="219">
        <f>AA110</f>
        <v>13.333333333333334</v>
      </c>
      <c r="P110" s="122"/>
      <c r="Q110" s="96">
        <f>AC110+I110+J110+K110+L110+M110+N110+O110</f>
        <v>131.33333333333334</v>
      </c>
      <c r="R110" s="97">
        <f>IF(C110=2017, Q110/3,Q110)+P110</f>
        <v>131.33333333333334</v>
      </c>
      <c r="S110" s="209"/>
      <c r="T110" s="209"/>
      <c r="U110" s="108"/>
      <c r="V110" s="108">
        <f>12</f>
        <v>12</v>
      </c>
      <c r="W110" s="108">
        <f>15</f>
        <v>15</v>
      </c>
      <c r="X110" s="108">
        <f>AL110</f>
        <v>13</v>
      </c>
      <c r="Y110" s="122"/>
      <c r="Z110" s="96">
        <f>SUM(U110:X110)</f>
        <v>40</v>
      </c>
      <c r="AA110" s="97">
        <f>IF(C110=2016, Z110/3,Z110)+Y110</f>
        <v>13.333333333333334</v>
      </c>
      <c r="AB110" s="101"/>
      <c r="AC110" s="41"/>
      <c r="AD110" s="41"/>
      <c r="AE110" s="41"/>
      <c r="AF110" s="41"/>
      <c r="AG110" s="41">
        <f>8</f>
        <v>8</v>
      </c>
      <c r="AH110" s="41">
        <f>5</f>
        <v>5</v>
      </c>
      <c r="AI110" s="236"/>
      <c r="AK110" s="96">
        <f>SUM(AC110:AI110)</f>
        <v>13</v>
      </c>
      <c r="AL110" s="97">
        <f>IF(C110=2015, AK110/3,AK110)+AJ110</f>
        <v>13</v>
      </c>
    </row>
    <row r="111" spans="1:38" x14ac:dyDescent="0.25">
      <c r="A111" s="45" t="s">
        <v>603</v>
      </c>
      <c r="B111" s="66" t="s">
        <v>0</v>
      </c>
      <c r="C111" s="46">
        <v>2016</v>
      </c>
      <c r="D111" s="1">
        <f>R111+F111+E111</f>
        <v>5.666666666666667</v>
      </c>
      <c r="E111" s="156"/>
      <c r="F111" s="156"/>
      <c r="G111" s="122"/>
      <c r="H111" s="156"/>
      <c r="I111" s="156"/>
      <c r="J111" s="156"/>
      <c r="K111" s="156"/>
      <c r="L111" s="156"/>
      <c r="M111" s="156"/>
      <c r="N111" s="156"/>
      <c r="O111" s="219">
        <f>AA111</f>
        <v>5.666666666666667</v>
      </c>
      <c r="P111" s="122"/>
      <c r="Q111" s="96">
        <f>AC111+I111+J111+K111+L111+M111+N111+O111</f>
        <v>5.666666666666667</v>
      </c>
      <c r="R111" s="97">
        <f>IF(C111=2017, Q111/3,Q111)+P111</f>
        <v>5.666666666666667</v>
      </c>
      <c r="S111" s="222"/>
      <c r="T111" s="222"/>
      <c r="U111" s="108">
        <f>0</f>
        <v>0</v>
      </c>
      <c r="V111" s="108">
        <f>17</f>
        <v>17</v>
      </c>
      <c r="W111" s="108"/>
      <c r="X111" s="108"/>
      <c r="Y111" s="122"/>
      <c r="Z111" s="96">
        <f>SUM(U111:X111)</f>
        <v>17</v>
      </c>
      <c r="AA111" s="97">
        <f>IF(C111=2016, Z111/3,Z111)+Y111</f>
        <v>5.666666666666667</v>
      </c>
      <c r="AB111" s="101"/>
      <c r="AC111" s="41"/>
      <c r="AD111" s="41"/>
      <c r="AE111" s="41"/>
      <c r="AF111" s="41"/>
      <c r="AG111" s="41"/>
      <c r="AH111" s="41"/>
      <c r="AI111" s="204"/>
      <c r="AK111" s="96">
        <f>SUM(AC111:AI111)</f>
        <v>0</v>
      </c>
      <c r="AL111" s="97">
        <f>IF(C111=2015, AK111/3,AK111)+AJ111</f>
        <v>0</v>
      </c>
    </row>
    <row r="112" spans="1:38" x14ac:dyDescent="0.25">
      <c r="A112" s="11" t="s">
        <v>878</v>
      </c>
      <c r="B112" s="11" t="s">
        <v>479</v>
      </c>
      <c r="C112" s="3">
        <v>2014</v>
      </c>
      <c r="D112" s="1">
        <f>R112+F112+E112</f>
        <v>1</v>
      </c>
      <c r="E112" s="237"/>
      <c r="F112" s="237"/>
      <c r="G112" s="154"/>
      <c r="H112" s="237"/>
      <c r="I112" s="237"/>
      <c r="J112" s="237"/>
      <c r="K112" s="237"/>
      <c r="L112" s="237"/>
      <c r="M112" s="237">
        <f>1</f>
        <v>1</v>
      </c>
      <c r="N112" s="237"/>
      <c r="O112" s="219">
        <f>AA112</f>
        <v>0</v>
      </c>
      <c r="P112" s="154"/>
      <c r="Q112" s="96">
        <f>AC112+I112+J112+K112+L112+M112+N112+O112</f>
        <v>1</v>
      </c>
      <c r="R112" s="97">
        <f>IF(C112=2017, Q112/3,Q112)+P112</f>
        <v>1</v>
      </c>
      <c r="U112" s="237"/>
      <c r="V112" s="237"/>
      <c r="W112" s="237"/>
      <c r="X112" s="237"/>
      <c r="Y112" s="120"/>
      <c r="Z112" s="96">
        <f>SUM(U112:X112)</f>
        <v>0</v>
      </c>
      <c r="AA112" s="97">
        <f>IF(C112=2016, Z112/3,Z112)+Y112</f>
        <v>0</v>
      </c>
      <c r="AB112" s="22"/>
      <c r="AC112" s="237"/>
      <c r="AD112" s="237"/>
      <c r="AE112" s="237"/>
      <c r="AF112" s="237"/>
      <c r="AG112" s="237"/>
      <c r="AH112" s="237"/>
      <c r="AI112" s="240"/>
      <c r="AJ112" s="95"/>
      <c r="AK112" s="96"/>
      <c r="AL112" s="97"/>
    </row>
    <row r="113" spans="1:38" x14ac:dyDescent="0.25">
      <c r="A113" s="11" t="s">
        <v>460</v>
      </c>
      <c r="B113" s="60" t="s">
        <v>273</v>
      </c>
      <c r="C113" s="62">
        <v>2013</v>
      </c>
      <c r="D113" s="1">
        <f>R113+F113+E113</f>
        <v>0</v>
      </c>
      <c r="G113" s="120"/>
      <c r="K113" s="191"/>
      <c r="L113" s="191"/>
      <c r="M113" s="191"/>
      <c r="N113" s="191"/>
      <c r="O113" s="219">
        <f>AA113</f>
        <v>0</v>
      </c>
      <c r="P113" s="120"/>
      <c r="Q113" s="96">
        <f>AC113+I113+J113+K113+L113+M113+N113+O113</f>
        <v>0</v>
      </c>
      <c r="R113" s="97">
        <f>IF(C113=2017, Q113/3,Q113)+P113</f>
        <v>0</v>
      </c>
      <c r="S113" s="238"/>
      <c r="T113" s="238"/>
      <c r="U113" s="191"/>
      <c r="V113" s="191"/>
      <c r="W113" s="191"/>
      <c r="X113" s="191">
        <f>AL113</f>
        <v>0</v>
      </c>
      <c r="Y113" s="120"/>
      <c r="Z113" s="96">
        <f>SUM(U113:X113)</f>
        <v>0</v>
      </c>
      <c r="AA113" s="97">
        <f>IF(C113=2016, Z113/3,Z113)+Y113</f>
        <v>0</v>
      </c>
      <c r="AB113" s="22"/>
      <c r="AC113" s="205"/>
      <c r="AD113" s="205"/>
      <c r="AE113" s="205"/>
      <c r="AF113" s="205"/>
      <c r="AG113" s="205">
        <f>0</f>
        <v>0</v>
      </c>
      <c r="AH113" s="205"/>
      <c r="AJ113" s="95"/>
      <c r="AK113" s="96">
        <f>SUM(AC113:AI113)</f>
        <v>0</v>
      </c>
      <c r="AL113" s="97">
        <f>IF(C113=2015, AK113/3,AK113)+AJ113</f>
        <v>0</v>
      </c>
    </row>
    <row r="114" spans="1:38" x14ac:dyDescent="0.25">
      <c r="A114" s="11" t="s">
        <v>858</v>
      </c>
      <c r="B114" s="60" t="s">
        <v>64</v>
      </c>
      <c r="C114" s="62">
        <v>2013</v>
      </c>
      <c r="D114" s="1">
        <f>R114+F114+E114</f>
        <v>258</v>
      </c>
      <c r="E114" s="233">
        <f>45</f>
        <v>45</v>
      </c>
      <c r="G114" s="120"/>
      <c r="L114" s="174">
        <f>0+9+6</f>
        <v>15</v>
      </c>
      <c r="M114" s="174">
        <f>27+18</f>
        <v>45</v>
      </c>
      <c r="N114" s="174">
        <f>6</f>
        <v>6</v>
      </c>
      <c r="O114" s="219">
        <f>AA114</f>
        <v>147</v>
      </c>
      <c r="P114" s="120"/>
      <c r="Q114" s="96">
        <f>AC114+I114+J114+K114+L114+M114+N114+O114</f>
        <v>213</v>
      </c>
      <c r="R114" s="97">
        <f>IF(C114=2017, Q114/3,Q114)+P114</f>
        <v>213</v>
      </c>
      <c r="S114" s="238"/>
      <c r="T114" s="238"/>
      <c r="U114" s="174"/>
      <c r="V114" s="174">
        <f>75</f>
        <v>75</v>
      </c>
      <c r="W114" s="174">
        <f>0+6</f>
        <v>6</v>
      </c>
      <c r="X114" s="174">
        <f>AL114</f>
        <v>66</v>
      </c>
      <c r="Y114" s="120"/>
      <c r="Z114" s="96">
        <f>SUM(U114:X114)</f>
        <v>147</v>
      </c>
      <c r="AA114" s="97">
        <f>IF(C114=2016, Z114/3,Z114)+Y114</f>
        <v>147</v>
      </c>
      <c r="AB114" s="22"/>
      <c r="AC114" s="205"/>
      <c r="AD114" s="205">
        <f>18+6</f>
        <v>24</v>
      </c>
      <c r="AE114" s="205">
        <f>36+6</f>
        <v>42</v>
      </c>
      <c r="AF114" s="205"/>
      <c r="AG114" s="205"/>
      <c r="AH114" s="205"/>
      <c r="AJ114" s="95"/>
      <c r="AK114" s="96">
        <f>SUM(AC114:AI114)</f>
        <v>66</v>
      </c>
      <c r="AL114" s="97">
        <f>IF(C114=2015, AK114/3,AK114)+AJ114</f>
        <v>66</v>
      </c>
    </row>
    <row r="115" spans="1:38" x14ac:dyDescent="0.25">
      <c r="A115" s="11" t="s">
        <v>873</v>
      </c>
      <c r="B115" s="11" t="s">
        <v>479</v>
      </c>
      <c r="C115" s="3">
        <v>2016</v>
      </c>
      <c r="D115" s="1">
        <f>R115+F115+E115</f>
        <v>1</v>
      </c>
      <c r="E115" s="237">
        <f>0</f>
        <v>0</v>
      </c>
      <c r="F115" s="237"/>
      <c r="G115" s="154"/>
      <c r="H115" s="237"/>
      <c r="I115" s="237"/>
      <c r="J115" s="237"/>
      <c r="K115" s="237"/>
      <c r="L115" s="237"/>
      <c r="M115" s="237">
        <f>1</f>
        <v>1</v>
      </c>
      <c r="N115" s="237"/>
      <c r="O115" s="219">
        <f>AA115</f>
        <v>0</v>
      </c>
      <c r="P115" s="154"/>
      <c r="Q115" s="96">
        <f>AC115+I115+J115+K115+L115+M115+N115+O115</f>
        <v>1</v>
      </c>
      <c r="R115" s="97">
        <f>IF(C115=2017, Q115/3,Q115)+P115</f>
        <v>1</v>
      </c>
      <c r="U115" s="237"/>
      <c r="V115" s="237"/>
      <c r="W115" s="237"/>
      <c r="X115" s="237"/>
      <c r="Y115" s="120"/>
      <c r="Z115" s="96">
        <f>SUM(U115:X115)</f>
        <v>0</v>
      </c>
      <c r="AA115" s="97">
        <f>IF(C115=2016, Z115/3,Z115)+Y115</f>
        <v>0</v>
      </c>
      <c r="AB115" s="22"/>
      <c r="AC115" s="237"/>
      <c r="AD115" s="237"/>
      <c r="AE115" s="237"/>
      <c r="AF115" s="237"/>
      <c r="AG115" s="237"/>
      <c r="AH115" s="237"/>
      <c r="AI115" s="240"/>
      <c r="AJ115" s="95"/>
      <c r="AK115" s="96"/>
      <c r="AL115" s="97"/>
    </row>
    <row r="116" spans="1:38" x14ac:dyDescent="0.25">
      <c r="A116" s="11" t="s">
        <v>472</v>
      </c>
      <c r="B116" s="60" t="s">
        <v>232</v>
      </c>
      <c r="C116" s="62">
        <v>2013</v>
      </c>
      <c r="D116" s="1">
        <f>R116+F116+E116</f>
        <v>57</v>
      </c>
      <c r="G116" s="120"/>
      <c r="O116" s="219">
        <f>AA116</f>
        <v>57</v>
      </c>
      <c r="P116" s="120"/>
      <c r="Q116" s="96">
        <f>AC116+I116+J116+K116+L116+M116+N116+O116</f>
        <v>57</v>
      </c>
      <c r="R116" s="97">
        <f>IF(C116=2017, Q116/3,Q116)+P116</f>
        <v>57</v>
      </c>
      <c r="S116" s="209"/>
      <c r="T116" s="209"/>
      <c r="V116" s="50">
        <f>25</f>
        <v>25</v>
      </c>
      <c r="X116" s="50">
        <f>AL116</f>
        <v>32</v>
      </c>
      <c r="Y116" s="120"/>
      <c r="Z116" s="96">
        <f>SUM(U116:X116)</f>
        <v>57</v>
      </c>
      <c r="AA116" s="97">
        <f>IF(C116=2016, Z116/3,Z116)+Y116</f>
        <v>57</v>
      </c>
      <c r="AB116" s="22"/>
      <c r="AC116" s="205"/>
      <c r="AD116" s="205"/>
      <c r="AE116" s="205"/>
      <c r="AF116" s="205"/>
      <c r="AG116" s="205"/>
      <c r="AH116" s="205">
        <f>32</f>
        <v>32</v>
      </c>
      <c r="AJ116" s="95"/>
      <c r="AK116" s="96">
        <f>SUM(AC116:AI116)</f>
        <v>32</v>
      </c>
      <c r="AL116" s="97">
        <f>IF(C116=2015, AK116/3,AK116)+AJ116</f>
        <v>32</v>
      </c>
    </row>
    <row r="117" spans="1:38" x14ac:dyDescent="0.25">
      <c r="A117" s="45" t="s">
        <v>422</v>
      </c>
      <c r="B117" s="66" t="s">
        <v>63</v>
      </c>
      <c r="C117" s="46">
        <v>2016</v>
      </c>
      <c r="D117" s="1">
        <f>R117+F117+E117</f>
        <v>57.333333333333336</v>
      </c>
      <c r="E117" s="156"/>
      <c r="F117" s="156"/>
      <c r="G117" s="122"/>
      <c r="H117" s="156"/>
      <c r="I117" s="156"/>
      <c r="J117" s="156"/>
      <c r="K117" s="156"/>
      <c r="L117" s="156"/>
      <c r="M117" s="156"/>
      <c r="N117" s="156"/>
      <c r="O117" s="219">
        <f>AA117</f>
        <v>57.333333333333336</v>
      </c>
      <c r="P117" s="122"/>
      <c r="Q117" s="96">
        <f>AC117+I117+J117+K117+L117+M117+N117+O117</f>
        <v>57.333333333333336</v>
      </c>
      <c r="R117" s="97">
        <f>IF(C117=2017, Q117/3,Q117)+P117</f>
        <v>57.333333333333336</v>
      </c>
      <c r="S117" s="209"/>
      <c r="T117" s="209"/>
      <c r="U117" s="108">
        <f>42+3</f>
        <v>45</v>
      </c>
      <c r="V117" s="108">
        <f>31+15</f>
        <v>46</v>
      </c>
      <c r="W117" s="108">
        <f>30</f>
        <v>30</v>
      </c>
      <c r="X117" s="108">
        <f>AL117</f>
        <v>51</v>
      </c>
      <c r="Y117" s="122"/>
      <c r="Z117" s="96">
        <f>SUM(U117:X117)</f>
        <v>172</v>
      </c>
      <c r="AA117" s="97">
        <f>IF(C117=2016, Z117/3,Z117)+Y117</f>
        <v>57.333333333333336</v>
      </c>
      <c r="AB117" s="101"/>
      <c r="AC117" s="41"/>
      <c r="AD117" s="41"/>
      <c r="AE117" s="41"/>
      <c r="AF117" s="41">
        <f>24</f>
        <v>24</v>
      </c>
      <c r="AG117" s="41">
        <f>15</f>
        <v>15</v>
      </c>
      <c r="AH117" s="41">
        <f>12</f>
        <v>12</v>
      </c>
      <c r="AI117" s="236"/>
      <c r="AK117" s="96">
        <f>SUM(AC117:AI117)</f>
        <v>51</v>
      </c>
      <c r="AL117" s="97">
        <f>IF(C117=2015, AK117/3,AK117)+AJ117</f>
        <v>51</v>
      </c>
    </row>
    <row r="118" spans="1:38" x14ac:dyDescent="0.25">
      <c r="A118" s="45" t="s">
        <v>76</v>
      </c>
      <c r="B118" s="66" t="s">
        <v>63</v>
      </c>
      <c r="C118" s="46">
        <v>2017</v>
      </c>
      <c r="D118" s="1">
        <f>R118+F118+E118</f>
        <v>2</v>
      </c>
      <c r="E118" s="108"/>
      <c r="F118" s="108"/>
      <c r="G118" s="122"/>
      <c r="H118" s="108"/>
      <c r="I118" s="108"/>
      <c r="J118" s="108"/>
      <c r="K118" s="108"/>
      <c r="L118" s="108"/>
      <c r="M118" s="108"/>
      <c r="N118" s="108"/>
      <c r="O118" s="219">
        <f>AA118</f>
        <v>6</v>
      </c>
      <c r="P118" s="122"/>
      <c r="Q118" s="96">
        <f>AC118+I118+J118+K118+L118+M118+N118+O118</f>
        <v>6</v>
      </c>
      <c r="R118" s="97">
        <f>IF(C118=2017, Q118/3,Q118)+P118</f>
        <v>2</v>
      </c>
      <c r="S118" s="101"/>
      <c r="T118" s="108"/>
      <c r="U118" s="108"/>
      <c r="V118" s="108"/>
      <c r="W118" s="108"/>
      <c r="X118" s="108">
        <f>AL118</f>
        <v>6</v>
      </c>
      <c r="Y118" s="122"/>
      <c r="Z118" s="96">
        <f>SUM(U118:X118)</f>
        <v>6</v>
      </c>
      <c r="AA118" s="97">
        <f>IF(C118=2016, Z118/3,Z118)+Y118</f>
        <v>6</v>
      </c>
      <c r="AB118" s="101"/>
      <c r="AC118" s="41"/>
      <c r="AD118" s="41">
        <v>0</v>
      </c>
      <c r="AE118" s="41"/>
      <c r="AF118" s="41">
        <f>6</f>
        <v>6</v>
      </c>
      <c r="AG118" s="41"/>
      <c r="AH118" s="41"/>
      <c r="AI118" s="13"/>
      <c r="AK118" s="3">
        <f>SUM(AC118:AJ118)</f>
        <v>6</v>
      </c>
      <c r="AL118" s="3">
        <f>AK118</f>
        <v>6</v>
      </c>
    </row>
    <row r="119" spans="1:38" x14ac:dyDescent="0.25">
      <c r="A119" s="11" t="s">
        <v>900</v>
      </c>
      <c r="B119" s="11" t="s">
        <v>406</v>
      </c>
      <c r="C119" s="3">
        <v>2013</v>
      </c>
      <c r="D119" s="1">
        <f>R119+F119+E119</f>
        <v>24</v>
      </c>
      <c r="G119" s="154"/>
      <c r="I119" s="205">
        <f>7</f>
        <v>7</v>
      </c>
      <c r="K119" s="191"/>
      <c r="L119" s="191">
        <f>0+17</f>
        <v>17</v>
      </c>
      <c r="M119" s="191"/>
      <c r="N119" s="191"/>
      <c r="O119" s="219">
        <f>AA119</f>
        <v>0</v>
      </c>
      <c r="P119" s="154"/>
      <c r="Q119" s="96">
        <f>AC119+I119+J119+K119+L119+M119+N119+O119</f>
        <v>24</v>
      </c>
      <c r="R119" s="97">
        <f>IF(C119=2017, Q119/3,Q119)+P119</f>
        <v>24</v>
      </c>
      <c r="U119" s="191"/>
      <c r="V119" s="191"/>
      <c r="W119" s="191"/>
      <c r="X119" s="191"/>
      <c r="Y119" s="120"/>
      <c r="Z119" s="96">
        <f>SUM(U119:X119)</f>
        <v>0</v>
      </c>
      <c r="AA119" s="97">
        <f>IF(C119=2016, Z119/3,Z119)+Y119</f>
        <v>0</v>
      </c>
      <c r="AB119" s="22"/>
      <c r="AC119" s="237"/>
      <c r="AD119" s="237"/>
      <c r="AE119" s="237"/>
      <c r="AF119" s="237"/>
      <c r="AG119" s="237"/>
      <c r="AH119" s="237"/>
      <c r="AI119" s="240"/>
      <c r="AJ119" s="95"/>
      <c r="AK119" s="96"/>
      <c r="AL119" s="97"/>
    </row>
    <row r="120" spans="1:38" x14ac:dyDescent="0.25">
      <c r="A120" s="11" t="s">
        <v>877</v>
      </c>
      <c r="B120" s="11" t="s">
        <v>479</v>
      </c>
      <c r="C120" s="3">
        <v>2014</v>
      </c>
      <c r="D120" s="1">
        <f>R120+F120+E120</f>
        <v>1</v>
      </c>
      <c r="G120" s="154"/>
      <c r="M120" s="50">
        <f>1</f>
        <v>1</v>
      </c>
      <c r="O120" s="219">
        <f>AA120</f>
        <v>0</v>
      </c>
      <c r="P120" s="154"/>
      <c r="Q120" s="96">
        <f>AC120+I120+J120+K120+L120+M120+N120+O120</f>
        <v>1</v>
      </c>
      <c r="R120" s="97">
        <f>IF(C120=2017, Q120/3,Q120)+P120</f>
        <v>1</v>
      </c>
      <c r="Y120" s="120"/>
      <c r="Z120" s="96">
        <f>SUM(U120:X120)</f>
        <v>0</v>
      </c>
      <c r="AA120" s="97">
        <f>IF(C120=2016, Z120/3,Z120)+Y120</f>
        <v>0</v>
      </c>
      <c r="AB120" s="22"/>
      <c r="AC120" s="237"/>
      <c r="AD120" s="237"/>
      <c r="AE120" s="237"/>
      <c r="AF120" s="237"/>
      <c r="AG120" s="237"/>
      <c r="AH120" s="237"/>
      <c r="AI120" s="240"/>
      <c r="AJ120" s="95"/>
      <c r="AK120" s="96"/>
      <c r="AL120" s="97"/>
    </row>
    <row r="121" spans="1:38" x14ac:dyDescent="0.25">
      <c r="A121" s="45" t="s">
        <v>884</v>
      </c>
      <c r="B121" s="66" t="s">
        <v>406</v>
      </c>
      <c r="C121" s="46">
        <v>2017</v>
      </c>
      <c r="D121" s="1">
        <f>R121+F121+E121</f>
        <v>0</v>
      </c>
      <c r="E121" s="108"/>
      <c r="F121" s="108"/>
      <c r="G121" s="122"/>
      <c r="H121" s="108"/>
      <c r="I121" s="108"/>
      <c r="J121" s="108"/>
      <c r="K121" s="108"/>
      <c r="L121" s="108">
        <f>0</f>
        <v>0</v>
      </c>
      <c r="M121" s="108"/>
      <c r="N121" s="108"/>
      <c r="O121" s="219">
        <f>AA121</f>
        <v>0</v>
      </c>
      <c r="P121" s="122"/>
      <c r="Q121" s="96">
        <f>AC121+I121+J121+K121+L121+M121+N121+O121</f>
        <v>0</v>
      </c>
      <c r="R121" s="97">
        <f>IF(C121=2017, Q121/3,Q121)+P121</f>
        <v>0</v>
      </c>
      <c r="S121" s="101"/>
      <c r="T121" s="108"/>
      <c r="U121" s="108"/>
      <c r="V121" s="108"/>
      <c r="W121" s="108"/>
      <c r="X121" s="108"/>
      <c r="Y121" s="122"/>
      <c r="Z121" s="96">
        <f>SUM(U121:X121)</f>
        <v>0</v>
      </c>
      <c r="AA121" s="97">
        <f>IF(C121=2016, Z121/3,Z121)+Y121</f>
        <v>0</v>
      </c>
      <c r="AB121" s="101"/>
      <c r="AC121" s="41"/>
      <c r="AD121" s="41"/>
      <c r="AE121" s="41"/>
      <c r="AF121" s="41"/>
      <c r="AG121" s="41"/>
      <c r="AH121" s="41"/>
      <c r="AI121" s="13"/>
    </row>
    <row r="122" spans="1:38" x14ac:dyDescent="0.25">
      <c r="A122" s="11" t="s">
        <v>848</v>
      </c>
      <c r="B122" s="11" t="s">
        <v>842</v>
      </c>
      <c r="C122" s="3">
        <v>2014</v>
      </c>
      <c r="D122" s="1">
        <f>R122+F122+E122</f>
        <v>28</v>
      </c>
      <c r="G122" s="154"/>
      <c r="J122" s="196">
        <f>22</f>
        <v>22</v>
      </c>
      <c r="L122" s="170">
        <f>6</f>
        <v>6</v>
      </c>
      <c r="M122" s="50">
        <f>0</f>
        <v>0</v>
      </c>
      <c r="O122" s="219">
        <f>AA122</f>
        <v>0</v>
      </c>
      <c r="P122" s="154"/>
      <c r="Q122" s="96">
        <f>AC122+I122+J122+K122+L122+M122+N122+O122</f>
        <v>28</v>
      </c>
      <c r="R122" s="97">
        <f>IF(C122=2017, Q122/3,Q122)+P122</f>
        <v>28</v>
      </c>
      <c r="Y122" s="120"/>
      <c r="Z122" s="96">
        <f>SUM(U122:X122)</f>
        <v>0</v>
      </c>
      <c r="AA122" s="97">
        <f>IF(C122=2016, Z122/3,Z122)+Y122</f>
        <v>0</v>
      </c>
      <c r="AB122" s="22"/>
      <c r="AC122" s="237"/>
      <c r="AD122" s="237"/>
      <c r="AE122" s="237"/>
      <c r="AF122" s="237"/>
      <c r="AG122" s="237"/>
      <c r="AH122" s="237"/>
      <c r="AI122" s="240"/>
      <c r="AJ122" s="95"/>
      <c r="AK122" s="96"/>
      <c r="AL122" s="97"/>
    </row>
    <row r="123" spans="1:38" x14ac:dyDescent="0.25">
      <c r="A123" s="45" t="s">
        <v>74</v>
      </c>
      <c r="B123" s="66" t="s">
        <v>63</v>
      </c>
      <c r="C123" s="46">
        <v>2016</v>
      </c>
      <c r="D123" s="1">
        <f>R123+F123+E123</f>
        <v>4</v>
      </c>
      <c r="E123" s="156"/>
      <c r="F123" s="156"/>
      <c r="G123" s="122"/>
      <c r="H123" s="156"/>
      <c r="I123" s="156"/>
      <c r="J123" s="156"/>
      <c r="K123" s="156"/>
      <c r="L123" s="156"/>
      <c r="M123" s="156"/>
      <c r="N123" s="156"/>
      <c r="O123" s="219">
        <f>AA123</f>
        <v>4</v>
      </c>
      <c r="P123" s="122"/>
      <c r="Q123" s="96">
        <f>AC123+I123+J123+K123+L123+M123+N123+O123</f>
        <v>4</v>
      </c>
      <c r="R123" s="97">
        <f>IF(C123=2017, Q123/3,Q123)+P123</f>
        <v>4</v>
      </c>
      <c r="S123" s="209"/>
      <c r="T123" s="209"/>
      <c r="U123" s="108"/>
      <c r="V123" s="108"/>
      <c r="W123" s="108"/>
      <c r="X123" s="108">
        <f>AL123</f>
        <v>12</v>
      </c>
      <c r="Y123" s="122"/>
      <c r="Z123" s="96">
        <f>SUM(U123:X123)</f>
        <v>12</v>
      </c>
      <c r="AA123" s="97">
        <f>IF(C123=2016, Z123/3,Z123)+Y123</f>
        <v>4</v>
      </c>
      <c r="AB123" s="101"/>
      <c r="AC123" s="41"/>
      <c r="AD123" s="41">
        <v>12</v>
      </c>
      <c r="AE123" s="41">
        <f>0</f>
        <v>0</v>
      </c>
      <c r="AF123" s="41">
        <f>0</f>
        <v>0</v>
      </c>
      <c r="AG123" s="41">
        <f>0</f>
        <v>0</v>
      </c>
      <c r="AH123" s="41">
        <f>0</f>
        <v>0</v>
      </c>
      <c r="AI123" s="236"/>
      <c r="AK123" s="96">
        <f>SUM(AC123:AI123)</f>
        <v>12</v>
      </c>
      <c r="AL123" s="97">
        <f>IF(C123=2015, AK123/3,AK123)+AJ123</f>
        <v>12</v>
      </c>
    </row>
    <row r="124" spans="1:38" ht="14.25" customHeight="1" x14ac:dyDescent="0.25">
      <c r="A124" s="71" t="s">
        <v>768</v>
      </c>
      <c r="B124" s="71" t="s">
        <v>63</v>
      </c>
      <c r="C124" s="72">
        <v>2014</v>
      </c>
      <c r="D124" s="1">
        <f>R124+F124+E124</f>
        <v>78</v>
      </c>
      <c r="G124" s="154"/>
      <c r="I124" s="205">
        <f>31</f>
        <v>31</v>
      </c>
      <c r="K124" s="186">
        <f>0+2</f>
        <v>2</v>
      </c>
      <c r="L124" s="170">
        <f>0</f>
        <v>0</v>
      </c>
      <c r="M124" s="50">
        <f>26+2+1</f>
        <v>29</v>
      </c>
      <c r="N124" s="50">
        <f>16</f>
        <v>16</v>
      </c>
      <c r="O124" s="219">
        <f>AA124</f>
        <v>0</v>
      </c>
      <c r="P124" s="154"/>
      <c r="Q124" s="96">
        <f>AC124+I124+J124+K124+L124+M124+N124+O124</f>
        <v>78</v>
      </c>
      <c r="R124" s="97">
        <f>IF(C124=2017, Q124/3,Q124)+P124</f>
        <v>78</v>
      </c>
      <c r="S124" s="209"/>
      <c r="T124" s="209"/>
      <c r="Y124" s="120"/>
      <c r="Z124" s="96">
        <f>SUM(U124:X124)</f>
        <v>0</v>
      </c>
      <c r="AA124" s="97">
        <f>IF(C124=2016, Z124/3,Z124)+Y124</f>
        <v>0</v>
      </c>
      <c r="AB124" s="22"/>
      <c r="AC124" s="237"/>
      <c r="AD124" s="237"/>
      <c r="AE124" s="237"/>
      <c r="AF124" s="237"/>
      <c r="AG124" s="237"/>
      <c r="AH124" s="237"/>
      <c r="AI124" s="240"/>
      <c r="AJ124" s="95"/>
      <c r="AK124" s="96"/>
      <c r="AL124" s="97"/>
    </row>
    <row r="125" spans="1:38" x14ac:dyDescent="0.25">
      <c r="A125" s="11" t="s">
        <v>123</v>
      </c>
      <c r="B125" s="60" t="s">
        <v>64</v>
      </c>
      <c r="C125" s="62">
        <v>2014</v>
      </c>
      <c r="D125" s="1">
        <f>R125+F125+E125</f>
        <v>33</v>
      </c>
      <c r="E125" s="237"/>
      <c r="F125" s="237"/>
      <c r="G125" s="120"/>
      <c r="H125" s="237"/>
      <c r="I125" s="237"/>
      <c r="J125" s="237"/>
      <c r="K125" s="237"/>
      <c r="L125" s="237"/>
      <c r="M125" s="237"/>
      <c r="N125" s="237"/>
      <c r="O125" s="219">
        <f>AA125</f>
        <v>33</v>
      </c>
      <c r="P125" s="120"/>
      <c r="Q125" s="96">
        <f>AC125+I125+J125+K125+L125+M125+N125+O125</f>
        <v>33</v>
      </c>
      <c r="R125" s="97">
        <f>IF(C125=2017, Q125/3,Q125)+P125</f>
        <v>33</v>
      </c>
      <c r="S125" s="238"/>
      <c r="T125" s="238"/>
      <c r="U125" s="237"/>
      <c r="V125" s="237"/>
      <c r="W125" s="237"/>
      <c r="X125" s="237">
        <f>AL125</f>
        <v>33</v>
      </c>
      <c r="Y125" s="120"/>
      <c r="Z125" s="96">
        <f>SUM(U125:X125)</f>
        <v>33</v>
      </c>
      <c r="AA125" s="97">
        <f>IF(C125=2016, Z125/3,Z125)+Y125</f>
        <v>33</v>
      </c>
      <c r="AB125" s="22"/>
      <c r="AC125" s="41"/>
      <c r="AD125" s="41">
        <v>27</v>
      </c>
      <c r="AE125" s="41">
        <f>6</f>
        <v>6</v>
      </c>
      <c r="AF125" s="41"/>
      <c r="AG125" s="41"/>
      <c r="AH125" s="41"/>
      <c r="AI125" s="13"/>
      <c r="AJ125" s="95"/>
      <c r="AK125" s="96">
        <f>SUM(AC125:AI125)</f>
        <v>33</v>
      </c>
      <c r="AL125" s="97">
        <f>IF(C125=2015, AK125/3,AK125)+AJ125</f>
        <v>33</v>
      </c>
    </row>
    <row r="126" spans="1:38" x14ac:dyDescent="0.25">
      <c r="A126" s="11" t="s">
        <v>145</v>
      </c>
      <c r="B126" s="60" t="s">
        <v>63</v>
      </c>
      <c r="C126" s="62">
        <v>2013</v>
      </c>
      <c r="D126" s="1">
        <f>R126+F126+E126</f>
        <v>42</v>
      </c>
      <c r="G126" s="120"/>
      <c r="O126" s="219">
        <f>AA126</f>
        <v>42</v>
      </c>
      <c r="P126" s="120"/>
      <c r="Q126" s="96">
        <f>AC126+I126+J126+K126+L126+M126+N126+O126</f>
        <v>42</v>
      </c>
      <c r="R126" s="97">
        <f>IF(C126=2017, Q126/3,Q126)+P126</f>
        <v>42</v>
      </c>
      <c r="S126" s="238"/>
      <c r="T126" s="238"/>
      <c r="X126" s="50">
        <f>AL126</f>
        <v>42</v>
      </c>
      <c r="Y126" s="120"/>
      <c r="Z126" s="96">
        <f>SUM(U126:X126)</f>
        <v>42</v>
      </c>
      <c r="AA126" s="97">
        <f>IF(C126=2016, Z126/3,Z126)+Y126</f>
        <v>42</v>
      </c>
      <c r="AB126" s="22"/>
      <c r="AC126" s="41"/>
      <c r="AD126" s="41">
        <v>0</v>
      </c>
      <c r="AE126" s="41">
        <f>6</f>
        <v>6</v>
      </c>
      <c r="AF126" s="41">
        <f>36</f>
        <v>36</v>
      </c>
      <c r="AG126" s="41">
        <f>0</f>
        <v>0</v>
      </c>
      <c r="AH126" s="41"/>
      <c r="AI126" s="13"/>
      <c r="AJ126" s="95"/>
      <c r="AK126" s="96">
        <f>SUM(AC126:AI126)</f>
        <v>42</v>
      </c>
      <c r="AL126" s="97">
        <f>IF(C126=2015, AK126/3,AK126)+AJ126</f>
        <v>42</v>
      </c>
    </row>
    <row r="127" spans="1:38" x14ac:dyDescent="0.25">
      <c r="A127" s="11" t="s">
        <v>694</v>
      </c>
      <c r="B127" s="60" t="s">
        <v>7</v>
      </c>
      <c r="C127" s="62">
        <v>2013</v>
      </c>
      <c r="D127" s="1">
        <f>R127+F127+E127</f>
        <v>0</v>
      </c>
      <c r="G127" s="154"/>
      <c r="O127" s="219">
        <f>AA127</f>
        <v>0</v>
      </c>
      <c r="P127" s="154"/>
      <c r="Q127" s="96">
        <f>AC127+I127+J127+K127+L127+M127+N127+O127</f>
        <v>0</v>
      </c>
      <c r="R127" s="97">
        <f>IF(C127=2017, Q127/3,Q127)+P127</f>
        <v>0</v>
      </c>
      <c r="S127" s="209"/>
      <c r="T127" s="209"/>
      <c r="U127" s="50">
        <f>0</f>
        <v>0</v>
      </c>
      <c r="Y127" s="120"/>
      <c r="Z127" s="96">
        <f>SUM(U127:X127)</f>
        <v>0</v>
      </c>
      <c r="AA127" s="97">
        <f>IF(C127=2016, Z127/3,Z127)+Y127</f>
        <v>0</v>
      </c>
      <c r="AB127" s="22"/>
      <c r="AC127" s="153"/>
      <c r="AD127" s="153"/>
      <c r="AE127" s="153"/>
      <c r="AF127" s="153"/>
      <c r="AG127" s="153"/>
      <c r="AH127" s="153"/>
      <c r="AI127" s="13"/>
      <c r="AJ127" s="95"/>
      <c r="AK127" s="96">
        <f>SUM(AC127:AI127)</f>
        <v>0</v>
      </c>
      <c r="AL127" s="97">
        <f>IF(C127=2015, AK127/3,AK127)+AJ127</f>
        <v>0</v>
      </c>
    </row>
    <row r="128" spans="1:38" x14ac:dyDescent="0.25">
      <c r="A128" s="11" t="s">
        <v>412</v>
      </c>
      <c r="B128" s="71" t="s">
        <v>273</v>
      </c>
      <c r="C128" s="62">
        <v>2013</v>
      </c>
      <c r="D128" s="1">
        <f>R128+F128+E128</f>
        <v>10</v>
      </c>
      <c r="G128" s="120"/>
      <c r="O128" s="219">
        <f>AA128</f>
        <v>10</v>
      </c>
      <c r="P128" s="120"/>
      <c r="Q128" s="96">
        <f>AC128+I128+J128+K128+L128+M128+N128+O128</f>
        <v>10</v>
      </c>
      <c r="R128" s="97">
        <f>IF(C128=2017, Q128/3,Q128)+P128</f>
        <v>10</v>
      </c>
      <c r="S128" s="209"/>
      <c r="T128" s="209"/>
      <c r="X128" s="50">
        <f>AL128</f>
        <v>10</v>
      </c>
      <c r="Y128" s="120"/>
      <c r="Z128" s="96">
        <f>SUM(U128:X128)</f>
        <v>10</v>
      </c>
      <c r="AA128" s="97">
        <f>IF(C128=2016, Z128/3,Z128)+Y128</f>
        <v>10</v>
      </c>
      <c r="AB128" s="22"/>
      <c r="AC128" s="41"/>
      <c r="AD128" s="41"/>
      <c r="AE128" s="41"/>
      <c r="AF128" s="41"/>
      <c r="AG128" s="41">
        <f>10</f>
        <v>10</v>
      </c>
      <c r="AH128" s="41">
        <f>0</f>
        <v>0</v>
      </c>
      <c r="AI128" s="13"/>
      <c r="AJ128" s="95"/>
      <c r="AK128" s="96">
        <f>SUM(AC128:AI128)</f>
        <v>10</v>
      </c>
      <c r="AL128" s="97">
        <f>IF(C128=2015, AK128/3,AK128)+AJ128</f>
        <v>10</v>
      </c>
    </row>
    <row r="129" spans="1:57" x14ac:dyDescent="0.25">
      <c r="A129" s="11" t="s">
        <v>856</v>
      </c>
      <c r="B129" s="60" t="s">
        <v>63</v>
      </c>
      <c r="C129" s="62">
        <v>2014</v>
      </c>
      <c r="D129" s="1">
        <f>R129+F129+E129</f>
        <v>24</v>
      </c>
      <c r="G129" s="154"/>
      <c r="L129" s="170">
        <f>0+3+3</f>
        <v>6</v>
      </c>
      <c r="M129" s="50">
        <f>0+12+6</f>
        <v>18</v>
      </c>
      <c r="O129" s="219">
        <f>AA129</f>
        <v>0</v>
      </c>
      <c r="P129" s="154"/>
      <c r="Q129" s="96">
        <f>AC129+I129+J129+K129+L129+M129+N129+O129</f>
        <v>24</v>
      </c>
      <c r="R129" s="97">
        <f>IF(C129=2017, Q129/3,Q129)+P129</f>
        <v>24</v>
      </c>
      <c r="Y129" s="120"/>
      <c r="Z129" s="96">
        <f>SUM(U129:X129)</f>
        <v>0</v>
      </c>
      <c r="AA129" s="97">
        <f>IF(C129=2016, Z129/3,Z129)+Y129</f>
        <v>0</v>
      </c>
      <c r="AB129" s="22"/>
      <c r="AC129" s="153"/>
      <c r="AD129" s="153"/>
      <c r="AE129" s="153"/>
      <c r="AF129" s="153"/>
      <c r="AG129" s="153"/>
      <c r="AH129" s="153"/>
      <c r="AI129" s="13"/>
      <c r="AJ129" s="95"/>
      <c r="AK129" s="96"/>
      <c r="AL129" s="97"/>
    </row>
    <row r="130" spans="1:57" x14ac:dyDescent="0.25">
      <c r="A130" s="11" t="s">
        <v>396</v>
      </c>
      <c r="B130" s="71" t="s">
        <v>63</v>
      </c>
      <c r="C130" s="62">
        <v>2014</v>
      </c>
      <c r="D130" s="1">
        <f>R130+F130+E130</f>
        <v>76</v>
      </c>
      <c r="G130" s="120"/>
      <c r="I130" s="219"/>
      <c r="J130" s="219"/>
      <c r="K130" s="219">
        <f>3</f>
        <v>3</v>
      </c>
      <c r="L130" s="219"/>
      <c r="M130" s="219"/>
      <c r="N130" s="219"/>
      <c r="O130" s="219">
        <f>AA130</f>
        <v>73</v>
      </c>
      <c r="P130" s="120"/>
      <c r="Q130" s="96">
        <f>AC130+I130+J130+K130+L130+M130+N130+O130</f>
        <v>76</v>
      </c>
      <c r="R130" s="97">
        <f>IF(C130=2017, Q130/3,Q130)+P130</f>
        <v>76</v>
      </c>
      <c r="S130" s="209"/>
      <c r="T130" s="209"/>
      <c r="U130" s="219"/>
      <c r="V130" s="219">
        <f>37</f>
        <v>37</v>
      </c>
      <c r="W130" s="219"/>
      <c r="X130" s="219">
        <f>AL130</f>
        <v>36</v>
      </c>
      <c r="Y130" s="120"/>
      <c r="Z130" s="96">
        <f>SUM(U130:X130)</f>
        <v>73</v>
      </c>
      <c r="AA130" s="97">
        <f>IF(C130=2016, Z130/3,Z130)+Y130</f>
        <v>73</v>
      </c>
      <c r="AB130" s="22"/>
      <c r="AC130" s="41"/>
      <c r="AD130" s="41"/>
      <c r="AE130" s="41"/>
      <c r="AF130" s="41"/>
      <c r="AG130" s="41">
        <f>36</f>
        <v>36</v>
      </c>
      <c r="AH130" s="41"/>
      <c r="AI130" s="13"/>
      <c r="AJ130" s="95"/>
      <c r="AK130" s="96">
        <f>SUM(AC130:AI130)</f>
        <v>36</v>
      </c>
      <c r="AL130" s="97">
        <f>IF(C130=2015, AK130/3,AK130)+AJ130</f>
        <v>36</v>
      </c>
    </row>
    <row r="131" spans="1:57" x14ac:dyDescent="0.25">
      <c r="A131" s="11" t="s">
        <v>766</v>
      </c>
      <c r="B131" s="60" t="s">
        <v>64</v>
      </c>
      <c r="C131" s="62">
        <v>2013</v>
      </c>
      <c r="D131" s="1">
        <f>R131+F131+E131</f>
        <v>86</v>
      </c>
      <c r="E131" s="233">
        <f>38</f>
        <v>38</v>
      </c>
      <c r="G131" s="154"/>
      <c r="L131" s="170">
        <f>0+6</f>
        <v>6</v>
      </c>
      <c r="M131" s="50">
        <f>31</f>
        <v>31</v>
      </c>
      <c r="N131" s="50">
        <f>11</f>
        <v>11</v>
      </c>
      <c r="O131" s="219">
        <f>AA131</f>
        <v>0</v>
      </c>
      <c r="P131" s="154"/>
      <c r="Q131" s="96">
        <f>AC131+I131+J131+K131+L131+M131+N131+O131</f>
        <v>48</v>
      </c>
      <c r="R131" s="97">
        <f>IF(C131=2017, Q131/3,Q131)+P131</f>
        <v>48</v>
      </c>
      <c r="S131" s="209"/>
      <c r="T131" s="209"/>
      <c r="Y131" s="120"/>
      <c r="Z131" s="96">
        <f>SUM(U131:X131)</f>
        <v>0</v>
      </c>
      <c r="AA131" s="97">
        <f>IF(C131=2016, Z131/3,Z131)+Y131</f>
        <v>0</v>
      </c>
      <c r="AB131" s="22"/>
      <c r="AC131" s="153"/>
      <c r="AD131" s="153"/>
      <c r="AE131" s="153"/>
      <c r="AF131" s="153"/>
      <c r="AG131" s="153"/>
      <c r="AH131" s="153"/>
      <c r="AI131" s="13"/>
      <c r="AJ131" s="95"/>
      <c r="AK131" s="96"/>
      <c r="AL131" s="97"/>
    </row>
    <row r="132" spans="1:57" x14ac:dyDescent="0.25">
      <c r="A132" s="11" t="s">
        <v>613</v>
      </c>
      <c r="B132" s="71" t="s">
        <v>479</v>
      </c>
      <c r="C132" s="62"/>
      <c r="D132" s="1">
        <f>R132+F132+E132</f>
        <v>14</v>
      </c>
      <c r="G132" s="154"/>
      <c r="J132" s="205"/>
      <c r="K132" s="205"/>
      <c r="L132" s="205"/>
      <c r="M132" s="205"/>
      <c r="N132" s="205"/>
      <c r="O132" s="219">
        <f>AA132</f>
        <v>14</v>
      </c>
      <c r="P132" s="154"/>
      <c r="Q132" s="96">
        <f>AC132+I132+J132+K132+L132+M132+N132+O132</f>
        <v>14</v>
      </c>
      <c r="R132" s="97">
        <f>IF(C132=2017, Q132/3,Q132)+P132</f>
        <v>14</v>
      </c>
      <c r="S132" s="209"/>
      <c r="T132" s="209"/>
      <c r="U132" s="205"/>
      <c r="V132" s="205">
        <f>13+1</f>
        <v>14</v>
      </c>
      <c r="W132" s="205"/>
      <c r="X132" s="205"/>
      <c r="Y132" s="120"/>
      <c r="Z132" s="96">
        <f>SUM(U132:X132)</f>
        <v>14</v>
      </c>
      <c r="AA132" s="97">
        <f>IF(C132=2016, Z132/3,Z132)+Y132</f>
        <v>14</v>
      </c>
      <c r="AB132" s="22"/>
      <c r="AC132" s="153"/>
      <c r="AD132" s="153"/>
      <c r="AE132" s="153"/>
      <c r="AF132" s="153"/>
      <c r="AG132" s="153"/>
      <c r="AH132" s="153"/>
      <c r="AI132" s="13"/>
      <c r="AJ132" s="95"/>
      <c r="AK132" s="96">
        <f>SUM(AC132:AI132)</f>
        <v>0</v>
      </c>
      <c r="AL132" s="97">
        <f>IF(C132=2015, AK132/3,AK132)+AJ132</f>
        <v>0</v>
      </c>
    </row>
    <row r="133" spans="1:57" x14ac:dyDescent="0.25">
      <c r="A133" s="45" t="s">
        <v>683</v>
      </c>
      <c r="B133" s="66" t="s">
        <v>36</v>
      </c>
      <c r="C133" s="46">
        <v>2017</v>
      </c>
      <c r="D133" s="1">
        <f>R133+F133+E133</f>
        <v>4</v>
      </c>
      <c r="E133" s="108"/>
      <c r="F133" s="108"/>
      <c r="G133" s="122"/>
      <c r="H133" s="108"/>
      <c r="I133" s="108"/>
      <c r="J133" s="108"/>
      <c r="K133" s="108"/>
      <c r="L133" s="108"/>
      <c r="M133" s="108"/>
      <c r="N133" s="108"/>
      <c r="O133" s="219">
        <f>AA133</f>
        <v>12</v>
      </c>
      <c r="P133" s="122"/>
      <c r="Q133" s="96">
        <f>AC133+I133+J133+K133+L133+M133+N133+O133</f>
        <v>12</v>
      </c>
      <c r="R133" s="97">
        <f>IF(C133=2017, Q133/3,Q133)+P133</f>
        <v>4</v>
      </c>
      <c r="S133" s="101"/>
      <c r="T133" s="108"/>
      <c r="U133" s="108">
        <f>12</f>
        <v>12</v>
      </c>
      <c r="V133" s="108"/>
      <c r="W133" s="108"/>
      <c r="X133" s="108"/>
      <c r="Y133" s="122"/>
      <c r="Z133" s="96">
        <f>SUM(U133:X133)</f>
        <v>12</v>
      </c>
      <c r="AA133" s="97">
        <f>IF(C133=2016, Z133/3,Z133)+Y133</f>
        <v>12</v>
      </c>
      <c r="AB133" s="101"/>
      <c r="AC133" s="41"/>
      <c r="AD133" s="41"/>
      <c r="AE133" s="41"/>
      <c r="AF133" s="41"/>
      <c r="AG133" s="41"/>
      <c r="AH133" s="41"/>
      <c r="AI133" s="236"/>
    </row>
    <row r="134" spans="1:57" x14ac:dyDescent="0.25">
      <c r="A134" s="45" t="s">
        <v>880</v>
      </c>
      <c r="B134" s="66" t="s">
        <v>0</v>
      </c>
      <c r="C134" s="46">
        <v>2017</v>
      </c>
      <c r="D134" s="1">
        <f>R134+F134+E134</f>
        <v>35.333333333333336</v>
      </c>
      <c r="E134" s="108">
        <f>28</f>
        <v>28</v>
      </c>
      <c r="F134" s="108"/>
      <c r="G134" s="122"/>
      <c r="H134" s="108"/>
      <c r="I134" s="108">
        <f>6+2</f>
        <v>8</v>
      </c>
      <c r="J134" s="108">
        <f>6</f>
        <v>6</v>
      </c>
      <c r="K134" s="108">
        <f>2</f>
        <v>2</v>
      </c>
      <c r="L134" s="108">
        <f>6</f>
        <v>6</v>
      </c>
      <c r="M134" s="108"/>
      <c r="N134" s="108"/>
      <c r="O134" s="219">
        <f>AA134</f>
        <v>0</v>
      </c>
      <c r="P134" s="122"/>
      <c r="Q134" s="96">
        <f>AC134+I134+J134+K134+L134+M134+N134+O134</f>
        <v>22</v>
      </c>
      <c r="R134" s="97">
        <f>IF(C134=2017, Q134/3,Q134)+P134</f>
        <v>7.333333333333333</v>
      </c>
      <c r="S134" s="101"/>
      <c r="T134" s="108"/>
      <c r="U134" s="108"/>
      <c r="V134" s="108"/>
      <c r="W134" s="108"/>
      <c r="X134" s="108"/>
      <c r="Y134" s="122"/>
      <c r="Z134" s="96">
        <f>SUM(U134:X134)</f>
        <v>0</v>
      </c>
      <c r="AA134" s="97">
        <f>IF(C134=2016, Z134/3,Z134)+Y134</f>
        <v>0</v>
      </c>
      <c r="AB134" s="101"/>
      <c r="AC134" s="41"/>
      <c r="AD134" s="41"/>
      <c r="AE134" s="41"/>
      <c r="AF134" s="41"/>
      <c r="AG134" s="41"/>
      <c r="AH134" s="41"/>
      <c r="AI134" s="236"/>
    </row>
    <row r="135" spans="1:57" x14ac:dyDescent="0.25">
      <c r="A135" s="11" t="s">
        <v>850</v>
      </c>
      <c r="B135" s="71" t="s">
        <v>85</v>
      </c>
      <c r="C135" s="62">
        <v>2013</v>
      </c>
      <c r="D135" s="1">
        <f>R135+F135+E135</f>
        <v>79</v>
      </c>
      <c r="G135" s="154"/>
      <c r="M135" s="50">
        <f>72+4+3</f>
        <v>79</v>
      </c>
      <c r="O135" s="219">
        <f>AA135</f>
        <v>0</v>
      </c>
      <c r="P135" s="154"/>
      <c r="Q135" s="96">
        <f>AC135+I135+J135+K135+L135+M135+N135+O135</f>
        <v>79</v>
      </c>
      <c r="R135" s="97">
        <f>IF(C135=2017, Q135/3,Q135)+P135</f>
        <v>79</v>
      </c>
      <c r="Y135" s="120"/>
      <c r="Z135" s="96">
        <f>SUM(U135:X135)</f>
        <v>0</v>
      </c>
      <c r="AA135" s="97">
        <f>IF(C135=2016, Z135/3,Z135)+Y135</f>
        <v>0</v>
      </c>
      <c r="AB135" s="22"/>
      <c r="AC135" s="153"/>
      <c r="AD135" s="153"/>
      <c r="AE135" s="153"/>
      <c r="AF135" s="153"/>
      <c r="AG135" s="153"/>
      <c r="AH135" s="153"/>
      <c r="AI135" s="13"/>
      <c r="AJ135" s="95"/>
      <c r="AK135" s="96"/>
      <c r="AL135" s="97"/>
    </row>
    <row r="136" spans="1:57" x14ac:dyDescent="0.25">
      <c r="A136" s="11" t="s">
        <v>408</v>
      </c>
      <c r="B136" s="11" t="s">
        <v>63</v>
      </c>
      <c r="C136" s="3">
        <v>2014</v>
      </c>
      <c r="D136" s="1">
        <f>R136+F136+E136</f>
        <v>23</v>
      </c>
      <c r="G136" s="120"/>
      <c r="O136" s="219">
        <f>AA136</f>
        <v>23</v>
      </c>
      <c r="P136" s="120"/>
      <c r="Q136" s="96">
        <f>AC136+I136+J136+K136+L136+M136+N136+O136</f>
        <v>23</v>
      </c>
      <c r="R136" s="97">
        <f>IF(C136=2017, Q136/3,Q136)+P136</f>
        <v>23</v>
      </c>
      <c r="S136" s="209"/>
      <c r="T136" s="209"/>
      <c r="U136" s="50">
        <f>0</f>
        <v>0</v>
      </c>
      <c r="W136" s="50">
        <f>13</f>
        <v>13</v>
      </c>
      <c r="X136" s="50">
        <f>AL136</f>
        <v>10</v>
      </c>
      <c r="Y136" s="120"/>
      <c r="Z136" s="96">
        <f>SUM(U136:X136)</f>
        <v>23</v>
      </c>
      <c r="AA136" s="97">
        <f>IF(C136=2016, Z136/3,Z136)+Y136</f>
        <v>23</v>
      </c>
      <c r="AB136" s="22"/>
      <c r="AC136" s="237"/>
      <c r="AD136" s="237"/>
      <c r="AE136" s="237"/>
      <c r="AF136" s="237"/>
      <c r="AG136" s="237">
        <f>10</f>
        <v>10</v>
      </c>
      <c r="AH136" s="237"/>
      <c r="AI136" s="240"/>
      <c r="AJ136" s="95"/>
      <c r="AK136" s="96">
        <f>SUM(AC136:AI136)</f>
        <v>10</v>
      </c>
      <c r="AL136" s="97">
        <f>IF(C136=2015, AK136/3,AK136)+AJ136</f>
        <v>10</v>
      </c>
    </row>
    <row r="137" spans="1:57" x14ac:dyDescent="0.25">
      <c r="A137" s="11" t="s">
        <v>629</v>
      </c>
      <c r="B137" s="60" t="s">
        <v>602</v>
      </c>
      <c r="C137" s="62"/>
      <c r="D137" s="1">
        <f>R137+F137+E137</f>
        <v>21</v>
      </c>
      <c r="G137" s="154"/>
      <c r="O137" s="219">
        <f>AA137</f>
        <v>21</v>
      </c>
      <c r="P137" s="154"/>
      <c r="Q137" s="96">
        <f>AC137+I137+J137+K137+L137+M137+N137+O137</f>
        <v>21</v>
      </c>
      <c r="R137" s="97">
        <f>IF(C137=2017, Q137/3,Q137)+P137</f>
        <v>21</v>
      </c>
      <c r="S137" s="209"/>
      <c r="T137" s="209"/>
      <c r="V137" s="50">
        <f>21</f>
        <v>21</v>
      </c>
      <c r="Y137" s="120"/>
      <c r="Z137" s="96">
        <f>SUM(U137:X137)</f>
        <v>21</v>
      </c>
      <c r="AA137" s="97">
        <f>IF(C137=2016, Z137/3,Z137)+Y137</f>
        <v>21</v>
      </c>
      <c r="AB137" s="22"/>
      <c r="AC137" s="237"/>
      <c r="AD137" s="237"/>
      <c r="AE137" s="237"/>
      <c r="AF137" s="237"/>
      <c r="AG137" s="237"/>
      <c r="AH137" s="237"/>
      <c r="AI137" s="240"/>
      <c r="AJ137" s="95"/>
      <c r="AK137" s="96">
        <f>SUM(AC137:AI137)</f>
        <v>0</v>
      </c>
      <c r="AL137" s="97">
        <f>IF(C137=2015, AK137/3,AK137)+AJ137</f>
        <v>0</v>
      </c>
    </row>
    <row r="138" spans="1:57" x14ac:dyDescent="0.25">
      <c r="A138" s="11" t="s">
        <v>563</v>
      </c>
      <c r="B138" s="71" t="s">
        <v>7</v>
      </c>
      <c r="C138" s="62">
        <v>2015</v>
      </c>
      <c r="D138" s="1">
        <f>R138+F138+E138</f>
        <v>0</v>
      </c>
      <c r="G138" s="154"/>
      <c r="O138" s="219">
        <f>AA138</f>
        <v>0</v>
      </c>
      <c r="P138" s="154"/>
      <c r="Q138" s="96">
        <f>AC138+I138+J138+K138+L138+M138+N138+O138</f>
        <v>0</v>
      </c>
      <c r="R138" s="97">
        <f>IF(C138=2017, Q138/3,Q138)+P138</f>
        <v>0</v>
      </c>
      <c r="S138" s="238"/>
      <c r="T138" s="238"/>
      <c r="W138" s="50">
        <f>0</f>
        <v>0</v>
      </c>
      <c r="Y138" s="120"/>
      <c r="Z138" s="96">
        <f>SUM(U138:X138)</f>
        <v>0</v>
      </c>
      <c r="AA138" s="97">
        <f>IF(C138=2016, Z138/3,Z138)+Y138</f>
        <v>0</v>
      </c>
      <c r="AB138" s="22"/>
      <c r="AC138" s="237"/>
      <c r="AD138" s="237"/>
      <c r="AE138" s="237"/>
      <c r="AF138" s="237"/>
      <c r="AG138" s="237"/>
      <c r="AH138" s="237"/>
      <c r="AI138" s="240"/>
      <c r="AJ138" s="95"/>
      <c r="AK138" s="96">
        <f>SUM(AC138:AI138)</f>
        <v>0</v>
      </c>
      <c r="AL138" s="97">
        <f>IF(C138=2015, AK138/3,AK138)+AJ138</f>
        <v>0</v>
      </c>
    </row>
    <row r="139" spans="1:57" x14ac:dyDescent="0.25">
      <c r="A139" s="11" t="s">
        <v>413</v>
      </c>
      <c r="B139" s="71" t="s">
        <v>273</v>
      </c>
      <c r="C139" s="62">
        <v>2013</v>
      </c>
      <c r="D139" s="1">
        <f>R139+F139+E139</f>
        <v>10</v>
      </c>
      <c r="G139" s="120"/>
      <c r="O139" s="219">
        <f>AA139</f>
        <v>10</v>
      </c>
      <c r="P139" s="120"/>
      <c r="Q139" s="96">
        <f>AC139+I139+J139+K139+L139+M139+N139+O139</f>
        <v>10</v>
      </c>
      <c r="R139" s="97">
        <f>IF(C139=2017, Q139/3,Q139)+P139</f>
        <v>10</v>
      </c>
      <c r="S139" s="209"/>
      <c r="T139" s="209"/>
      <c r="X139" s="50">
        <f>AL139</f>
        <v>10</v>
      </c>
      <c r="Y139" s="120"/>
      <c r="Z139" s="96">
        <f>SUM(U139:X139)</f>
        <v>10</v>
      </c>
      <c r="AA139" s="97">
        <f>IF(C139=2016, Z139/3,Z139)+Y139</f>
        <v>10</v>
      </c>
      <c r="AB139" s="22"/>
      <c r="AC139" s="237"/>
      <c r="AD139" s="237"/>
      <c r="AE139" s="237"/>
      <c r="AF139" s="237"/>
      <c r="AG139" s="237">
        <f>10</f>
        <v>10</v>
      </c>
      <c r="AH139" s="237">
        <f>0</f>
        <v>0</v>
      </c>
      <c r="AI139" s="240"/>
      <c r="AJ139" s="95"/>
      <c r="AK139" s="96">
        <f>SUM(AC139:AI139)</f>
        <v>10</v>
      </c>
      <c r="AL139" s="97">
        <f>IF(C139=2015, AK139/3,AK139)+AJ139</f>
        <v>10</v>
      </c>
    </row>
    <row r="140" spans="1:57" x14ac:dyDescent="0.25">
      <c r="A140" s="11" t="s">
        <v>733</v>
      </c>
      <c r="B140" s="71" t="s">
        <v>63</v>
      </c>
      <c r="C140" s="62">
        <v>2015</v>
      </c>
      <c r="D140" s="1">
        <f>R140+F140+E140</f>
        <v>183</v>
      </c>
      <c r="G140" s="154"/>
      <c r="I140" s="205">
        <f>14</f>
        <v>14</v>
      </c>
      <c r="J140" s="196">
        <f>68</f>
        <v>68</v>
      </c>
      <c r="K140" s="186">
        <f>15+4</f>
        <v>19</v>
      </c>
      <c r="L140" s="170">
        <f>43+4</f>
        <v>47</v>
      </c>
      <c r="M140" s="50">
        <f>18+1</f>
        <v>19</v>
      </c>
      <c r="N140" s="50">
        <f>16</f>
        <v>16</v>
      </c>
      <c r="O140" s="219">
        <f>AA140</f>
        <v>0</v>
      </c>
      <c r="P140" s="154"/>
      <c r="Q140" s="96">
        <f>AC140+I140+J140+K140+L140+M140+N140+O140</f>
        <v>183</v>
      </c>
      <c r="R140" s="97">
        <f>IF(C140=2017, Q140/3,Q140)+P140</f>
        <v>183</v>
      </c>
      <c r="S140" s="209"/>
      <c r="T140" s="209"/>
      <c r="Y140" s="120"/>
      <c r="Z140" s="96">
        <f>SUM(U140:X140)</f>
        <v>0</v>
      </c>
      <c r="AA140" s="97">
        <f>IF(C140=2016, Z140/3,Z140)+Y140</f>
        <v>0</v>
      </c>
      <c r="AB140" s="22"/>
      <c r="AC140" s="237"/>
      <c r="AD140" s="237"/>
      <c r="AE140" s="237"/>
      <c r="AF140" s="237"/>
      <c r="AG140" s="237"/>
      <c r="AH140" s="237"/>
      <c r="AI140" s="240"/>
      <c r="AJ140" s="95"/>
      <c r="AK140" s="96">
        <f>SUM(AC140:AI140)</f>
        <v>0</v>
      </c>
      <c r="AL140" s="97">
        <f>IF(C140=2015, AK140/3,AK140)+AJ140</f>
        <v>0</v>
      </c>
    </row>
    <row r="141" spans="1:57" x14ac:dyDescent="0.25">
      <c r="A141" s="11" t="s">
        <v>903</v>
      </c>
      <c r="B141" s="71" t="s">
        <v>406</v>
      </c>
      <c r="C141" s="62">
        <v>2013</v>
      </c>
      <c r="D141" s="1">
        <f>R141+F141+E141</f>
        <v>0</v>
      </c>
      <c r="G141" s="154"/>
      <c r="I141" s="205">
        <f>0</f>
        <v>0</v>
      </c>
      <c r="L141" s="170">
        <f>0</f>
        <v>0</v>
      </c>
      <c r="O141" s="219">
        <f>AA141</f>
        <v>0</v>
      </c>
      <c r="P141" s="154"/>
      <c r="Q141" s="96">
        <f>AC141+I141+J141+K141+L141+M141+N141+O141</f>
        <v>0</v>
      </c>
      <c r="R141" s="97">
        <f>IF(C141=2017, Q141/3,Q141)+P141</f>
        <v>0</v>
      </c>
      <c r="Y141" s="120"/>
      <c r="Z141" s="96">
        <f>SUM(U141:X141)</f>
        <v>0</v>
      </c>
      <c r="AA141" s="97">
        <f>IF(C141=2016, Z141/3,Z141)+Y141</f>
        <v>0</v>
      </c>
      <c r="AB141" s="22"/>
      <c r="AC141" s="237"/>
      <c r="AD141" s="237"/>
      <c r="AE141" s="237"/>
      <c r="AF141" s="237"/>
      <c r="AG141" s="237"/>
      <c r="AH141" s="237"/>
      <c r="AI141" s="240"/>
      <c r="AJ141" s="95"/>
      <c r="AK141" s="96"/>
      <c r="AL141" s="97"/>
    </row>
    <row r="142" spans="1:57" x14ac:dyDescent="0.25">
      <c r="A142" s="11" t="s">
        <v>741</v>
      </c>
      <c r="B142" s="71" t="s">
        <v>63</v>
      </c>
      <c r="C142" s="62">
        <v>2015</v>
      </c>
      <c r="D142" s="1">
        <f>R142+F142+E142</f>
        <v>140</v>
      </c>
      <c r="G142" s="154"/>
      <c r="I142" s="219">
        <f>20</f>
        <v>20</v>
      </c>
      <c r="J142" s="219">
        <f>22</f>
        <v>22</v>
      </c>
      <c r="K142" s="219">
        <f>12</f>
        <v>12</v>
      </c>
      <c r="L142" s="219">
        <f>0+4</f>
        <v>4</v>
      </c>
      <c r="M142" s="219">
        <f>50+4</f>
        <v>54</v>
      </c>
      <c r="N142" s="219">
        <f>28</f>
        <v>28</v>
      </c>
      <c r="O142" s="219">
        <f>AA142</f>
        <v>0</v>
      </c>
      <c r="P142" s="154"/>
      <c r="Q142" s="96">
        <f>AC142+I142+J142+K142+L142+M142+N142+O142</f>
        <v>140</v>
      </c>
      <c r="R142" s="97">
        <f>IF(C142=2017, Q142/3,Q142)+P142</f>
        <v>140</v>
      </c>
      <c r="S142" s="238"/>
      <c r="T142" s="238"/>
      <c r="U142" s="219"/>
      <c r="V142" s="219"/>
      <c r="W142" s="219"/>
      <c r="X142" s="219"/>
      <c r="Y142" s="120"/>
      <c r="Z142" s="96">
        <f>SUM(U142:X142)</f>
        <v>0</v>
      </c>
      <c r="AA142" s="97">
        <f>IF(C142=2016, Z142/3,Z142)+Y142</f>
        <v>0</v>
      </c>
      <c r="AB142" s="22"/>
      <c r="AC142" s="237"/>
      <c r="AD142" s="237"/>
      <c r="AE142" s="237"/>
      <c r="AF142" s="237"/>
      <c r="AG142" s="237"/>
      <c r="AH142" s="237"/>
      <c r="AI142" s="240"/>
      <c r="AJ142" s="95"/>
      <c r="AK142" s="96">
        <f>SUM(AC142:AI142)</f>
        <v>0</v>
      </c>
      <c r="AL142" s="97">
        <f>IF(C142=2015, AK142/3,AK142)+AJ142</f>
        <v>0</v>
      </c>
    </row>
    <row r="143" spans="1:57" x14ac:dyDescent="0.25">
      <c r="A143" s="11" t="s">
        <v>730</v>
      </c>
      <c r="B143" s="71" t="s">
        <v>0</v>
      </c>
      <c r="C143" s="62">
        <v>2014</v>
      </c>
      <c r="D143" s="1">
        <f>R143+F143+E143</f>
        <v>63</v>
      </c>
      <c r="G143" s="154"/>
      <c r="K143" s="186">
        <f>6+4</f>
        <v>10</v>
      </c>
      <c r="L143" s="170">
        <f>23+1</f>
        <v>24</v>
      </c>
      <c r="M143" s="50">
        <f>26+3</f>
        <v>29</v>
      </c>
      <c r="O143" s="219">
        <f>AA143</f>
        <v>0</v>
      </c>
      <c r="P143" s="154"/>
      <c r="Q143" s="96">
        <f>AC143+I143+J143+K143+L143+M143+N143+O143</f>
        <v>63</v>
      </c>
      <c r="R143" s="97">
        <f>IF(C143=2017, Q143/3,Q143)+P143</f>
        <v>63</v>
      </c>
      <c r="S143" s="209"/>
      <c r="T143" s="209"/>
      <c r="Y143" s="120"/>
      <c r="Z143" s="96">
        <f>SUM(U143:X143)</f>
        <v>0</v>
      </c>
      <c r="AA143" s="97">
        <f>IF(C143=2016, Z143/3,Z143)+Y143</f>
        <v>0</v>
      </c>
      <c r="AB143" s="22"/>
      <c r="AC143" s="237"/>
      <c r="AD143" s="237"/>
      <c r="AE143" s="237"/>
      <c r="AF143" s="237"/>
      <c r="AG143" s="237"/>
      <c r="AH143" s="237"/>
      <c r="AI143" s="240"/>
      <c r="AJ143" s="95"/>
      <c r="AK143" s="96">
        <f>SUM(AC143:AI143)</f>
        <v>0</v>
      </c>
      <c r="AL143" s="97">
        <f>IF(C143=2015, AK143/3,AK143)+AJ143</f>
        <v>0</v>
      </c>
    </row>
    <row r="144" spans="1:57" x14ac:dyDescent="0.25">
      <c r="A144" s="51" t="s">
        <v>333</v>
      </c>
      <c r="B144" s="51" t="s">
        <v>7</v>
      </c>
      <c r="C144" s="52"/>
      <c r="D144" s="1">
        <f>R144+F144+E144</f>
        <v>102</v>
      </c>
      <c r="G144" s="120"/>
      <c r="O144" s="219">
        <f>AA144</f>
        <v>102</v>
      </c>
      <c r="P144" s="120"/>
      <c r="Q144" s="96">
        <f>AC144+I144+J144+K144+L144+M144+N144+O144</f>
        <v>102</v>
      </c>
      <c r="R144" s="97">
        <f>IF(C144=2017, Q144/3,Q144)+P144</f>
        <v>102</v>
      </c>
      <c r="S144" s="209"/>
      <c r="T144" s="209"/>
      <c r="V144" s="50">
        <f>21</f>
        <v>21</v>
      </c>
      <c r="X144" s="50">
        <f>AL144</f>
        <v>81</v>
      </c>
      <c r="Y144" s="120"/>
      <c r="Z144" s="96">
        <f>SUM(U144:X144)</f>
        <v>102</v>
      </c>
      <c r="AA144" s="97">
        <f>IF(C144=2016, Z144/3,Z144)+Y144</f>
        <v>102</v>
      </c>
      <c r="AB144" s="22"/>
      <c r="AC144" s="237"/>
      <c r="AD144" s="237"/>
      <c r="AE144" s="237"/>
      <c r="AF144" s="237">
        <f>27</f>
        <v>27</v>
      </c>
      <c r="AG144" s="237"/>
      <c r="AH144" s="237">
        <f>51</f>
        <v>51</v>
      </c>
      <c r="AI144" s="237">
        <f>3</f>
        <v>3</v>
      </c>
      <c r="AJ144" s="95"/>
      <c r="AK144" s="96">
        <f>SUM(AC144:AI144)</f>
        <v>81</v>
      </c>
      <c r="AL144" s="97">
        <f>IF(C144=2015, AK144/3,AK144)+AJ144</f>
        <v>81</v>
      </c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</row>
    <row r="145" spans="1:38" x14ac:dyDescent="0.25">
      <c r="A145" s="11" t="s">
        <v>411</v>
      </c>
      <c r="B145" s="60" t="s">
        <v>273</v>
      </c>
      <c r="C145" s="62">
        <v>2013</v>
      </c>
      <c r="D145" s="1">
        <f>R145+F145+E145</f>
        <v>52</v>
      </c>
      <c r="G145" s="120"/>
      <c r="K145" s="191"/>
      <c r="L145" s="191"/>
      <c r="M145" s="191"/>
      <c r="N145" s="191"/>
      <c r="O145" s="219">
        <f>AA145</f>
        <v>52</v>
      </c>
      <c r="P145" s="120"/>
      <c r="Q145" s="96">
        <f>AC145+I145+J145+K145+L145+M145+N145+O145</f>
        <v>52</v>
      </c>
      <c r="R145" s="97">
        <f>IF(C145=2017, Q145/3,Q145)+P145</f>
        <v>52</v>
      </c>
      <c r="S145" s="238"/>
      <c r="T145" s="238"/>
      <c r="X145" s="50">
        <f>AL145</f>
        <v>52</v>
      </c>
      <c r="Y145" s="120"/>
      <c r="Z145" s="96">
        <f>SUM(U145:X145)</f>
        <v>52</v>
      </c>
      <c r="AA145" s="97">
        <f>IF(C145=2016, Z145/3,Z145)+Y145</f>
        <v>52</v>
      </c>
      <c r="AB145" s="22"/>
      <c r="AC145" s="41"/>
      <c r="AD145" s="41"/>
      <c r="AE145" s="41"/>
      <c r="AF145" s="41"/>
      <c r="AG145" s="41">
        <f>10</f>
        <v>10</v>
      </c>
      <c r="AH145" s="41">
        <f>42</f>
        <v>42</v>
      </c>
      <c r="AI145" s="13"/>
      <c r="AJ145" s="95"/>
      <c r="AK145" s="96">
        <f>SUM(AC145:AI145)</f>
        <v>52</v>
      </c>
      <c r="AL145" s="97">
        <f>IF(C145=2015, AK145/3,AK145)+AJ145</f>
        <v>52</v>
      </c>
    </row>
    <row r="146" spans="1:38" x14ac:dyDescent="0.25">
      <c r="A146" s="11" t="s">
        <v>485</v>
      </c>
      <c r="B146" s="60" t="s">
        <v>273</v>
      </c>
      <c r="C146" s="62">
        <v>2014</v>
      </c>
      <c r="D146" s="1">
        <f>R146+F146+E146</f>
        <v>0</v>
      </c>
      <c r="G146" s="120"/>
      <c r="O146" s="219">
        <f>AA146</f>
        <v>0</v>
      </c>
      <c r="P146" s="120"/>
      <c r="Q146" s="96">
        <f>AC146+I146+J146+K146+L146+M146+N146+O146</f>
        <v>0</v>
      </c>
      <c r="R146" s="97">
        <f>IF(C146=2017, Q146/3,Q146)+P146</f>
        <v>0</v>
      </c>
      <c r="S146" s="209"/>
      <c r="T146" s="209"/>
      <c r="X146" s="50">
        <f>AL146</f>
        <v>0</v>
      </c>
      <c r="Y146" s="120"/>
      <c r="Z146" s="96">
        <f>SUM(U146:X146)</f>
        <v>0</v>
      </c>
      <c r="AA146" s="97">
        <f>IF(C146=2016, Z146/3,Z146)+Y146</f>
        <v>0</v>
      </c>
      <c r="AB146" s="22"/>
      <c r="AC146" s="41"/>
      <c r="AD146" s="41"/>
      <c r="AE146" s="41"/>
      <c r="AF146" s="41"/>
      <c r="AG146" s="41"/>
      <c r="AH146" s="41">
        <f>0</f>
        <v>0</v>
      </c>
      <c r="AI146" s="13"/>
      <c r="AJ146" s="95"/>
      <c r="AK146" s="96">
        <f>SUM(AC146:AI146)</f>
        <v>0</v>
      </c>
      <c r="AL146" s="97">
        <f>IF(C146=2015, AK146/3,AK146)+AJ146</f>
        <v>0</v>
      </c>
    </row>
    <row r="147" spans="1:38" x14ac:dyDescent="0.25">
      <c r="A147" s="11" t="s">
        <v>722</v>
      </c>
      <c r="B147" s="60" t="s">
        <v>6</v>
      </c>
      <c r="C147" s="62">
        <v>2013</v>
      </c>
      <c r="D147" s="1">
        <f>R147+F147+E147</f>
        <v>0</v>
      </c>
      <c r="G147" s="154"/>
      <c r="J147" s="205"/>
      <c r="K147" s="205"/>
      <c r="L147" s="205"/>
      <c r="M147" s="205"/>
      <c r="N147" s="205"/>
      <c r="O147" s="219">
        <f>AA147</f>
        <v>0</v>
      </c>
      <c r="P147" s="154"/>
      <c r="Q147" s="96">
        <f>AC147+I147+J147+K147+L147+M147+N147+O147</f>
        <v>0</v>
      </c>
      <c r="R147" s="97">
        <f>IF(C147=2017, Q147/3,Q147)+P147</f>
        <v>0</v>
      </c>
      <c r="S147" s="209"/>
      <c r="T147" s="209"/>
      <c r="U147" s="205"/>
      <c r="V147" s="205"/>
      <c r="W147" s="205"/>
      <c r="X147" s="205"/>
      <c r="Y147" s="120"/>
      <c r="Z147" s="96">
        <f>SUM(U147:X147)</f>
        <v>0</v>
      </c>
      <c r="AA147" s="97">
        <f>IF(C147=2016, Z147/3,Z147)+Y147</f>
        <v>0</v>
      </c>
      <c r="AB147" s="22"/>
      <c r="AC147" s="153"/>
      <c r="AD147" s="153"/>
      <c r="AE147" s="153"/>
      <c r="AF147" s="153"/>
      <c r="AG147" s="153"/>
      <c r="AH147" s="153"/>
      <c r="AI147" s="13"/>
      <c r="AJ147" s="95"/>
      <c r="AK147" s="96">
        <f>SUM(AC147:AI147)</f>
        <v>0</v>
      </c>
      <c r="AL147" s="97">
        <f>IF(C147=2015, AK147/3,AK147)+AJ147</f>
        <v>0</v>
      </c>
    </row>
    <row r="148" spans="1:38" x14ac:dyDescent="0.25">
      <c r="A148" s="11" t="s">
        <v>837</v>
      </c>
      <c r="B148" s="60" t="s">
        <v>479</v>
      </c>
      <c r="C148" s="62">
        <v>2013</v>
      </c>
      <c r="D148" s="1">
        <f>R148+F148+E148</f>
        <v>16</v>
      </c>
      <c r="G148" s="154"/>
      <c r="M148" s="50">
        <f>13+2+1</f>
        <v>16</v>
      </c>
      <c r="O148" s="219">
        <f>AA148</f>
        <v>0</v>
      </c>
      <c r="P148" s="154"/>
      <c r="Q148" s="96">
        <f>AC148+I148+J148+K148+L148+M148+N148+O148</f>
        <v>16</v>
      </c>
      <c r="R148" s="97">
        <f>IF(C148=2017, Q148/3,Q148)+P148</f>
        <v>16</v>
      </c>
      <c r="Y148" s="120"/>
      <c r="Z148" s="96">
        <f>SUM(U148:X148)</f>
        <v>0</v>
      </c>
      <c r="AA148" s="97">
        <f>IF(C148=2016, Z148/3,Z148)+Y148</f>
        <v>0</v>
      </c>
      <c r="AB148" s="22"/>
      <c r="AC148" s="153"/>
      <c r="AD148" s="153"/>
      <c r="AE148" s="153"/>
      <c r="AF148" s="153"/>
      <c r="AG148" s="153"/>
      <c r="AH148" s="153"/>
      <c r="AI148" s="13"/>
      <c r="AJ148" s="95"/>
      <c r="AK148" s="96"/>
      <c r="AL148" s="97"/>
    </row>
    <row r="149" spans="1:38" x14ac:dyDescent="0.25">
      <c r="A149" s="11" t="s">
        <v>138</v>
      </c>
      <c r="B149" s="60" t="s">
        <v>64</v>
      </c>
      <c r="C149" s="62">
        <v>2014</v>
      </c>
      <c r="D149" s="1">
        <f>R149+F149+E149</f>
        <v>26</v>
      </c>
      <c r="E149" s="237"/>
      <c r="F149" s="237"/>
      <c r="G149" s="120"/>
      <c r="H149" s="237"/>
      <c r="I149" s="237"/>
      <c r="J149" s="237"/>
      <c r="K149" s="237"/>
      <c r="L149" s="237"/>
      <c r="M149" s="237"/>
      <c r="N149" s="237"/>
      <c r="O149" s="219">
        <f>AA149</f>
        <v>26</v>
      </c>
      <c r="P149" s="120"/>
      <c r="Q149" s="96">
        <f>AC149+I149+J149+K149+L149+M149+N149+O149</f>
        <v>26</v>
      </c>
      <c r="R149" s="97">
        <f>IF(C149=2017, Q149/3,Q149)+P149</f>
        <v>26</v>
      </c>
      <c r="S149" s="209"/>
      <c r="T149" s="209"/>
      <c r="U149" s="237"/>
      <c r="V149" s="237"/>
      <c r="W149" s="237"/>
      <c r="X149" s="237">
        <f>AL149</f>
        <v>26</v>
      </c>
      <c r="Y149" s="120"/>
      <c r="Z149" s="96">
        <f>SUM(U149:X149)</f>
        <v>26</v>
      </c>
      <c r="AA149" s="97">
        <f>IF(C149=2016, Z149/3,Z149)+Y149</f>
        <v>26</v>
      </c>
      <c r="AB149" s="22"/>
      <c r="AC149" s="41"/>
      <c r="AD149" s="41">
        <v>8</v>
      </c>
      <c r="AE149" s="41">
        <f>18</f>
        <v>18</v>
      </c>
      <c r="AF149" s="41"/>
      <c r="AG149" s="41"/>
      <c r="AH149" s="41"/>
      <c r="AI149" s="13"/>
      <c r="AJ149" s="95"/>
      <c r="AK149" s="96">
        <f>SUM(AC149:AI149)</f>
        <v>26</v>
      </c>
      <c r="AL149" s="97">
        <f>IF(C149=2015, AK149/3,AK149)+AJ149</f>
        <v>26</v>
      </c>
    </row>
    <row r="150" spans="1:38" x14ac:dyDescent="0.25">
      <c r="A150" s="11" t="s">
        <v>689</v>
      </c>
      <c r="B150" s="60" t="s">
        <v>64</v>
      </c>
      <c r="C150" s="62">
        <v>2013</v>
      </c>
      <c r="D150" s="1">
        <f>R150+F150+E150</f>
        <v>22</v>
      </c>
      <c r="G150" s="154"/>
      <c r="O150" s="219">
        <f>AA150</f>
        <v>22</v>
      </c>
      <c r="P150" s="154"/>
      <c r="Q150" s="96">
        <f>AC150+I150+J150+K150+L150+M150+N150+O150</f>
        <v>22</v>
      </c>
      <c r="R150" s="97">
        <f>IF(C150=2017, Q150/3,Q150)+P150</f>
        <v>22</v>
      </c>
      <c r="S150" s="209"/>
      <c r="T150" s="209"/>
      <c r="U150" s="50">
        <f>22</f>
        <v>22</v>
      </c>
      <c r="Y150" s="120"/>
      <c r="Z150" s="96">
        <f>SUM(U150:X150)</f>
        <v>22</v>
      </c>
      <c r="AA150" s="97">
        <f>IF(C150=2016, Z150/3,Z150)+Y150</f>
        <v>22</v>
      </c>
      <c r="AB150" s="22"/>
      <c r="AC150" s="153"/>
      <c r="AD150" s="153"/>
      <c r="AE150" s="153"/>
      <c r="AF150" s="153"/>
      <c r="AG150" s="153"/>
      <c r="AH150" s="153"/>
      <c r="AI150" s="13"/>
      <c r="AJ150" s="95"/>
      <c r="AK150" s="96">
        <f>SUM(AC150:AI150)</f>
        <v>0</v>
      </c>
      <c r="AL150" s="97">
        <f>IF(C150=2015, AK150/3,AK150)+AJ150</f>
        <v>0</v>
      </c>
    </row>
    <row r="151" spans="1:38" x14ac:dyDescent="0.25">
      <c r="A151" s="11" t="s">
        <v>843</v>
      </c>
      <c r="B151" s="60" t="s">
        <v>842</v>
      </c>
      <c r="C151" s="62">
        <v>2013</v>
      </c>
      <c r="D151" s="1">
        <f>R151+F151+E151</f>
        <v>6</v>
      </c>
      <c r="G151" s="154"/>
      <c r="J151" s="196">
        <f>0</f>
        <v>0</v>
      </c>
      <c r="L151" s="170">
        <f>0+6</f>
        <v>6</v>
      </c>
      <c r="M151" s="50">
        <f>0</f>
        <v>0</v>
      </c>
      <c r="O151" s="219">
        <f>AA151</f>
        <v>0</v>
      </c>
      <c r="P151" s="154"/>
      <c r="Q151" s="96">
        <f>AC151+I151+J151+K151+L151+M151+N151+O151</f>
        <v>6</v>
      </c>
      <c r="R151" s="97">
        <f>IF(C151=2017, Q151/3,Q151)+P151</f>
        <v>6</v>
      </c>
      <c r="Y151" s="120"/>
      <c r="Z151" s="96">
        <f>SUM(U151:X151)</f>
        <v>0</v>
      </c>
      <c r="AA151" s="97">
        <f>IF(C151=2016, Z151/3,Z151)+Y151</f>
        <v>0</v>
      </c>
      <c r="AB151" s="22"/>
      <c r="AC151" s="153"/>
      <c r="AD151" s="153"/>
      <c r="AE151" s="153"/>
      <c r="AF151" s="153"/>
      <c r="AG151" s="153"/>
      <c r="AH151" s="153"/>
      <c r="AI151" s="13"/>
      <c r="AJ151" s="95"/>
      <c r="AK151" s="96"/>
      <c r="AL151" s="97"/>
    </row>
    <row r="152" spans="1:38" x14ac:dyDescent="0.25">
      <c r="A152" s="11" t="s">
        <v>841</v>
      </c>
      <c r="B152" s="60" t="s">
        <v>842</v>
      </c>
      <c r="C152" s="62">
        <v>2013</v>
      </c>
      <c r="D152" s="1">
        <f>R152+F152+E152</f>
        <v>6</v>
      </c>
      <c r="G152" s="154"/>
      <c r="I152" s="219"/>
      <c r="J152" s="219"/>
      <c r="K152" s="219"/>
      <c r="L152" s="219">
        <f>0+6</f>
        <v>6</v>
      </c>
      <c r="M152" s="219">
        <f>0</f>
        <v>0</v>
      </c>
      <c r="N152" s="219"/>
      <c r="O152" s="219">
        <f>AA152</f>
        <v>0</v>
      </c>
      <c r="P152" s="154"/>
      <c r="Q152" s="96">
        <f>AC152+I152+J152+K152+L152+M152+N152+O152</f>
        <v>6</v>
      </c>
      <c r="R152" s="97">
        <f>IF(C152=2017, Q152/3,Q152)+P152</f>
        <v>6</v>
      </c>
      <c r="Y152" s="120"/>
      <c r="Z152" s="96">
        <f>SUM(U152:X152)</f>
        <v>0</v>
      </c>
      <c r="AA152" s="97">
        <f>IF(C152=2016, Z152/3,Z152)+Y152</f>
        <v>0</v>
      </c>
      <c r="AB152" s="22"/>
      <c r="AC152" s="153"/>
      <c r="AD152" s="153"/>
      <c r="AE152" s="153"/>
      <c r="AF152" s="153"/>
      <c r="AG152" s="153"/>
      <c r="AH152" s="153"/>
      <c r="AI152" s="13"/>
      <c r="AJ152" s="95"/>
      <c r="AK152" s="96"/>
      <c r="AL152" s="97"/>
    </row>
    <row r="153" spans="1:38" x14ac:dyDescent="0.25">
      <c r="A153" s="45" t="s">
        <v>780</v>
      </c>
      <c r="B153" s="66" t="s">
        <v>6</v>
      </c>
      <c r="C153" s="46">
        <v>2013</v>
      </c>
      <c r="D153" s="1">
        <f>R153+F153+E153</f>
        <v>106</v>
      </c>
      <c r="E153" s="237"/>
      <c r="F153" s="237"/>
      <c r="G153" s="120"/>
      <c r="H153" s="237"/>
      <c r="I153" s="237"/>
      <c r="J153" s="237"/>
      <c r="K153" s="237"/>
      <c r="L153" s="237"/>
      <c r="M153" s="237"/>
      <c r="N153" s="237">
        <f>24</f>
        <v>24</v>
      </c>
      <c r="O153" s="219">
        <f>AA153</f>
        <v>82</v>
      </c>
      <c r="P153" s="120"/>
      <c r="Q153" s="96">
        <f>AC153+I153+J153+K153+L153+M153+N153+O153</f>
        <v>106</v>
      </c>
      <c r="R153" s="97">
        <f>IF(C153=2017, Q153/3,Q153)+P153</f>
        <v>106</v>
      </c>
      <c r="S153" s="209"/>
      <c r="T153" s="209"/>
      <c r="U153" s="237"/>
      <c r="V153" s="237"/>
      <c r="W153" s="237"/>
      <c r="X153" s="237">
        <f>AL153</f>
        <v>82</v>
      </c>
      <c r="Y153" s="120"/>
      <c r="Z153" s="96">
        <f>SUM(U153:X153)</f>
        <v>82</v>
      </c>
      <c r="AA153" s="97">
        <f>IF(C153=2016, Z153/3,Z153)+Y153</f>
        <v>82</v>
      </c>
      <c r="AB153" s="101"/>
      <c r="AC153" s="41"/>
      <c r="AD153" s="41"/>
      <c r="AE153" s="41"/>
      <c r="AF153" s="41"/>
      <c r="AG153" s="41"/>
      <c r="AH153" s="41"/>
      <c r="AI153" s="217"/>
      <c r="AJ153" s="95"/>
      <c r="AK153" s="96">
        <f>82</f>
        <v>82</v>
      </c>
      <c r="AL153" s="97">
        <f>IF(C153=2015, AK153/3,AK153)+AJ153</f>
        <v>82</v>
      </c>
    </row>
    <row r="154" spans="1:38" x14ac:dyDescent="0.25">
      <c r="A154" s="71" t="s">
        <v>235</v>
      </c>
      <c r="B154" s="71" t="s">
        <v>232</v>
      </c>
      <c r="C154" s="3">
        <v>2015</v>
      </c>
      <c r="D154" s="1">
        <f>R154+F154+E154</f>
        <v>27</v>
      </c>
      <c r="G154" s="120"/>
      <c r="K154" s="191"/>
      <c r="L154" s="191"/>
      <c r="M154" s="191"/>
      <c r="N154" s="191"/>
      <c r="O154" s="219">
        <f>AA154</f>
        <v>27</v>
      </c>
      <c r="P154" s="120"/>
      <c r="Q154" s="96">
        <f>AC154+I154+J154+K154+L154+M154+N154+O154</f>
        <v>27</v>
      </c>
      <c r="R154" s="97">
        <f>IF(C154=2017, Q154/3,Q154)+P154</f>
        <v>27</v>
      </c>
      <c r="S154" s="209"/>
      <c r="T154" s="209"/>
      <c r="U154" s="191"/>
      <c r="V154" s="191"/>
      <c r="W154" s="191"/>
      <c r="X154" s="191">
        <f>AL154</f>
        <v>27</v>
      </c>
      <c r="Y154" s="120"/>
      <c r="Z154" s="96">
        <f>SUM(U154:X154)</f>
        <v>27</v>
      </c>
      <c r="AA154" s="97">
        <f>IF(C154=2016, Z154/3,Z154)+Y154</f>
        <v>27</v>
      </c>
      <c r="AB154" s="22"/>
      <c r="AC154" s="41"/>
      <c r="AD154" s="41"/>
      <c r="AE154" s="41">
        <f>81</f>
        <v>81</v>
      </c>
      <c r="AF154" s="41"/>
      <c r="AG154" s="41"/>
      <c r="AH154" s="41"/>
      <c r="AI154" s="13"/>
      <c r="AJ154" s="95"/>
      <c r="AK154" s="96">
        <f>SUM(AC154:AI154)</f>
        <v>81</v>
      </c>
      <c r="AL154" s="97">
        <f>IF(C154=2015, AK154/3,AK154)+AJ154</f>
        <v>27</v>
      </c>
    </row>
    <row r="155" spans="1:38" x14ac:dyDescent="0.25">
      <c r="A155" s="11" t="s">
        <v>844</v>
      </c>
      <c r="B155" s="60" t="s">
        <v>63</v>
      </c>
      <c r="C155" s="62">
        <v>2013</v>
      </c>
      <c r="D155" s="1">
        <f>R155+F155+E155</f>
        <v>23</v>
      </c>
      <c r="G155" s="154"/>
      <c r="L155" s="170">
        <f>23</f>
        <v>23</v>
      </c>
      <c r="M155" s="50">
        <f>0</f>
        <v>0</v>
      </c>
      <c r="O155" s="219">
        <f>AA155</f>
        <v>0</v>
      </c>
      <c r="P155" s="154"/>
      <c r="Q155" s="96">
        <f>AC155+I155+J155+K155+L155+M155+N155+O155</f>
        <v>23</v>
      </c>
      <c r="R155" s="97">
        <f>IF(C155=2017, Q155/3,Q155)+P155</f>
        <v>23</v>
      </c>
      <c r="Y155" s="120"/>
      <c r="Z155" s="96">
        <f>SUM(U155:X155)</f>
        <v>0</v>
      </c>
      <c r="AA155" s="97">
        <f>IF(C155=2016, Z155/3,Z155)+Y155</f>
        <v>0</v>
      </c>
      <c r="AB155" s="22"/>
      <c r="AC155" s="153"/>
      <c r="AD155" s="153"/>
      <c r="AE155" s="153"/>
      <c r="AF155" s="153"/>
      <c r="AG155" s="153"/>
      <c r="AH155" s="153"/>
      <c r="AI155" s="13"/>
      <c r="AJ155" s="95"/>
      <c r="AK155" s="96"/>
      <c r="AL155" s="97"/>
    </row>
    <row r="156" spans="1:38" x14ac:dyDescent="0.25">
      <c r="A156" s="71" t="s">
        <v>482</v>
      </c>
      <c r="B156" s="71" t="s">
        <v>6</v>
      </c>
      <c r="C156" s="3">
        <v>2013</v>
      </c>
      <c r="D156" s="1">
        <f>R156+F156+E156</f>
        <v>44</v>
      </c>
      <c r="G156" s="120"/>
      <c r="K156" s="191"/>
      <c r="L156" s="191">
        <f>34+10</f>
        <v>44</v>
      </c>
      <c r="M156" s="191"/>
      <c r="N156" s="191"/>
      <c r="O156" s="219">
        <f>AA156</f>
        <v>0</v>
      </c>
      <c r="P156" s="120"/>
      <c r="Q156" s="96">
        <f>AC156+I156+J156+K156+L156+M156+N156+O156</f>
        <v>44</v>
      </c>
      <c r="R156" s="97">
        <f>IF(C156=2017, Q156/3,Q156)+P156</f>
        <v>44</v>
      </c>
      <c r="S156" s="209"/>
      <c r="T156" s="209"/>
      <c r="U156" s="191"/>
      <c r="V156" s="191"/>
      <c r="W156" s="191"/>
      <c r="X156" s="191">
        <f>AL156</f>
        <v>0</v>
      </c>
      <c r="Y156" s="120"/>
      <c r="Z156" s="96">
        <f>SUM(U156:X156)</f>
        <v>0</v>
      </c>
      <c r="AA156" s="97">
        <f>IF(C156=2016, Z156/3,Z156)+Y156</f>
        <v>0</v>
      </c>
      <c r="AB156" s="22"/>
      <c r="AC156" s="41"/>
      <c r="AD156" s="41"/>
      <c r="AE156" s="41"/>
      <c r="AF156" s="41"/>
      <c r="AG156" s="41"/>
      <c r="AH156" s="41">
        <f>0</f>
        <v>0</v>
      </c>
      <c r="AI156" s="13"/>
      <c r="AJ156" s="95"/>
      <c r="AK156" s="96">
        <f>SUM(AC156:AI156)</f>
        <v>0</v>
      </c>
      <c r="AL156" s="97">
        <f>IF(C156=2015, AK156/3,AK156)+AJ156</f>
        <v>0</v>
      </c>
    </row>
    <row r="157" spans="1:38" x14ac:dyDescent="0.25">
      <c r="A157" s="11" t="s">
        <v>715</v>
      </c>
      <c r="B157" s="60" t="s">
        <v>63</v>
      </c>
      <c r="C157" s="62">
        <v>2016</v>
      </c>
      <c r="D157" s="1">
        <f>R157+F157+E157</f>
        <v>11</v>
      </c>
      <c r="G157" s="154"/>
      <c r="I157" s="205">
        <f>0</f>
        <v>0</v>
      </c>
      <c r="J157" s="196">
        <f>0</f>
        <v>0</v>
      </c>
      <c r="K157" s="186">
        <f>0+1</f>
        <v>1</v>
      </c>
      <c r="L157" s="170">
        <f>0</f>
        <v>0</v>
      </c>
      <c r="M157" s="50">
        <f>0+1</f>
        <v>1</v>
      </c>
      <c r="N157" s="50">
        <f>9</f>
        <v>9</v>
      </c>
      <c r="O157" s="219">
        <f>AA157</f>
        <v>0</v>
      </c>
      <c r="P157" s="154"/>
      <c r="Q157" s="96">
        <f>AC157+I157+J157+K157+L157+M157+N157+O157</f>
        <v>11</v>
      </c>
      <c r="R157" s="97">
        <f>IF(C157=2017, Q157/3,Q157)+P157</f>
        <v>11</v>
      </c>
      <c r="S157" s="209"/>
      <c r="T157" s="209"/>
      <c r="Y157" s="120"/>
      <c r="Z157" s="96">
        <f>SUM(U157:X157)</f>
        <v>0</v>
      </c>
      <c r="AA157" s="97">
        <f>IF(C157=2016, Z157/3,Z157)+Y157</f>
        <v>0</v>
      </c>
      <c r="AB157" s="22"/>
      <c r="AC157" s="153"/>
      <c r="AD157" s="153"/>
      <c r="AE157" s="153"/>
      <c r="AF157" s="153"/>
      <c r="AG157" s="153"/>
      <c r="AH157" s="153"/>
      <c r="AI157" s="13"/>
      <c r="AJ157" s="95"/>
      <c r="AK157" s="96"/>
      <c r="AL157" s="97"/>
    </row>
    <row r="158" spans="1:38" x14ac:dyDescent="0.25">
      <c r="A158" s="71" t="s">
        <v>410</v>
      </c>
      <c r="B158" s="71" t="s">
        <v>7</v>
      </c>
      <c r="C158" s="3">
        <v>2013</v>
      </c>
      <c r="D158" s="1">
        <f>R158+F158+E158</f>
        <v>283</v>
      </c>
      <c r="E158" s="233">
        <f>30+18</f>
        <v>48</v>
      </c>
      <c r="F158" s="219">
        <f>3+2</f>
        <v>5</v>
      </c>
      <c r="G158" s="120"/>
      <c r="I158" s="205">
        <f>52+16</f>
        <v>68</v>
      </c>
      <c r="J158" s="196">
        <f>50+24</f>
        <v>74</v>
      </c>
      <c r="L158" s="174">
        <f>0</f>
        <v>0</v>
      </c>
      <c r="M158" s="174">
        <f>22</f>
        <v>22</v>
      </c>
      <c r="N158" s="174">
        <f>0</f>
        <v>0</v>
      </c>
      <c r="O158" s="219">
        <f>AA158</f>
        <v>66</v>
      </c>
      <c r="P158" s="120"/>
      <c r="Q158" s="96">
        <f>AC158+I158+J158+K158+L158+M158+N158+O158</f>
        <v>230</v>
      </c>
      <c r="R158" s="97">
        <f>IF(C158=2017, Q158/3,Q158)+P158</f>
        <v>230</v>
      </c>
      <c r="S158" s="209"/>
      <c r="T158" s="209"/>
      <c r="U158" s="174">
        <f>0</f>
        <v>0</v>
      </c>
      <c r="V158" s="174">
        <f>43</f>
        <v>43</v>
      </c>
      <c r="W158" s="174">
        <f>13</f>
        <v>13</v>
      </c>
      <c r="X158" s="174">
        <f>AL158</f>
        <v>10</v>
      </c>
      <c r="Y158" s="120"/>
      <c r="Z158" s="96">
        <f>SUM(U158:X158)</f>
        <v>66</v>
      </c>
      <c r="AA158" s="97">
        <f>IF(C158=2016, Z158/3,Z158)+Y158</f>
        <v>66</v>
      </c>
      <c r="AB158" s="22"/>
      <c r="AC158" s="41"/>
      <c r="AD158" s="41"/>
      <c r="AE158" s="41"/>
      <c r="AF158" s="41"/>
      <c r="AG158" s="41">
        <f>10</f>
        <v>10</v>
      </c>
      <c r="AH158" s="41"/>
      <c r="AI158" s="13"/>
      <c r="AJ158" s="95"/>
      <c r="AK158" s="96">
        <f>SUM(AC158:AI158)</f>
        <v>10</v>
      </c>
      <c r="AL158" s="97">
        <f>IF(C158=2015, AK158/3,AK158)+AJ158</f>
        <v>10</v>
      </c>
    </row>
    <row r="159" spans="1:38" x14ac:dyDescent="0.25">
      <c r="A159" s="45" t="s">
        <v>466</v>
      </c>
      <c r="B159" s="66" t="s">
        <v>63</v>
      </c>
      <c r="C159" s="46">
        <v>2016</v>
      </c>
      <c r="D159" s="1">
        <f>R159+F159+E159</f>
        <v>121</v>
      </c>
      <c r="E159" s="156"/>
      <c r="F159" s="156"/>
      <c r="G159" s="122"/>
      <c r="H159" s="156"/>
      <c r="I159" s="156">
        <f>30</f>
        <v>30</v>
      </c>
      <c r="J159" s="156">
        <f>22</f>
        <v>22</v>
      </c>
      <c r="K159" s="156">
        <f>12</f>
        <v>12</v>
      </c>
      <c r="L159" s="156">
        <f>16+3</f>
        <v>19</v>
      </c>
      <c r="M159" s="156">
        <f>0+3+6</f>
        <v>9</v>
      </c>
      <c r="N159" s="156">
        <f>16</f>
        <v>16</v>
      </c>
      <c r="O159" s="219">
        <f>AA159</f>
        <v>13</v>
      </c>
      <c r="P159" s="122"/>
      <c r="Q159" s="96">
        <f>AC159+I159+J159+K159+L159+M159+N159+O159</f>
        <v>121</v>
      </c>
      <c r="R159" s="97">
        <f>IF(C159=2017, Q159/3,Q159)+P159</f>
        <v>121</v>
      </c>
      <c r="S159" s="209"/>
      <c r="T159" s="209"/>
      <c r="U159" s="108">
        <f>12</f>
        <v>12</v>
      </c>
      <c r="V159" s="108">
        <f>21</f>
        <v>21</v>
      </c>
      <c r="W159" s="108"/>
      <c r="X159" s="108">
        <f>AL159</f>
        <v>6</v>
      </c>
      <c r="Y159" s="122"/>
      <c r="Z159" s="96">
        <f>SUM(U159:X159)</f>
        <v>39</v>
      </c>
      <c r="AA159" s="97">
        <f>IF(C159=2016, Z159/3,Z159)+Y159</f>
        <v>13</v>
      </c>
      <c r="AB159" s="101"/>
      <c r="AC159" s="41"/>
      <c r="AD159" s="41"/>
      <c r="AE159" s="41"/>
      <c r="AF159" s="41"/>
      <c r="AG159" s="41"/>
      <c r="AH159" s="41">
        <f>6</f>
        <v>6</v>
      </c>
      <c r="AI159" s="236"/>
      <c r="AK159" s="96">
        <f>SUM(AC159:AI159)</f>
        <v>6</v>
      </c>
      <c r="AL159" s="97">
        <f>IF(C159=2015, AK159/3,AK159)+AJ159</f>
        <v>6</v>
      </c>
    </row>
    <row r="160" spans="1:38" x14ac:dyDescent="0.25">
      <c r="A160" s="11" t="s">
        <v>263</v>
      </c>
      <c r="B160" s="60" t="s">
        <v>64</v>
      </c>
      <c r="C160" s="62">
        <v>2013</v>
      </c>
      <c r="D160" s="1">
        <f>R160+F160+E160</f>
        <v>6</v>
      </c>
      <c r="G160" s="120"/>
      <c r="L160" s="170">
        <f>0+6</f>
        <v>6</v>
      </c>
      <c r="M160" s="50">
        <f>0</f>
        <v>0</v>
      </c>
      <c r="O160" s="219">
        <f>AA160</f>
        <v>0</v>
      </c>
      <c r="P160" s="120"/>
      <c r="Q160" s="96">
        <f>AC160+I160+J160+K160+L160+M160+N160+O160</f>
        <v>6</v>
      </c>
      <c r="R160" s="97">
        <f>IF(C160=2017, Q160/3,Q160)+P160</f>
        <v>6</v>
      </c>
      <c r="S160" s="209"/>
      <c r="T160" s="209"/>
      <c r="X160" s="50">
        <f>AL160</f>
        <v>0</v>
      </c>
      <c r="Y160" s="120"/>
      <c r="Z160" s="96">
        <f>SUM(U160:X160)</f>
        <v>0</v>
      </c>
      <c r="AA160" s="97">
        <f>IF(C160=2016, Z160/3,Z160)+Y160</f>
        <v>0</v>
      </c>
      <c r="AB160" s="22"/>
      <c r="AC160" s="205"/>
      <c r="AD160" s="205"/>
      <c r="AE160" s="205">
        <f>0</f>
        <v>0</v>
      </c>
      <c r="AF160" s="205"/>
      <c r="AG160" s="205"/>
      <c r="AH160" s="205"/>
      <c r="AJ160" s="95"/>
      <c r="AK160" s="96">
        <f>SUM(AC160:AI160)</f>
        <v>0</v>
      </c>
      <c r="AL160" s="97">
        <f>IF(C160=2015, AK160/3,AK160)+AJ160</f>
        <v>0</v>
      </c>
    </row>
    <row r="161" spans="1:38" x14ac:dyDescent="0.25">
      <c r="A161" s="11" t="s">
        <v>420</v>
      </c>
      <c r="B161" s="61" t="s">
        <v>7</v>
      </c>
      <c r="C161" s="62">
        <v>2013</v>
      </c>
      <c r="D161" s="1">
        <f>R161+F161+E161</f>
        <v>72</v>
      </c>
      <c r="E161" s="237"/>
      <c r="F161" s="237"/>
      <c r="G161" s="120"/>
      <c r="H161" s="237"/>
      <c r="I161" s="237"/>
      <c r="J161" s="237"/>
      <c r="K161" s="237"/>
      <c r="L161" s="237"/>
      <c r="M161" s="237">
        <f>22</f>
        <v>22</v>
      </c>
      <c r="N161" s="237">
        <f>12</f>
        <v>12</v>
      </c>
      <c r="O161" s="219">
        <f>AA161</f>
        <v>38</v>
      </c>
      <c r="P161" s="120"/>
      <c r="Q161" s="96">
        <f>AC161+I161+J161+K161+L161+M161+N161+O161</f>
        <v>72</v>
      </c>
      <c r="R161" s="97">
        <f>IF(C161=2017, Q161/3,Q161)+P161</f>
        <v>72</v>
      </c>
      <c r="S161" s="209"/>
      <c r="T161" s="209"/>
      <c r="U161" s="237">
        <f>0</f>
        <v>0</v>
      </c>
      <c r="V161" s="237">
        <f>0</f>
        <v>0</v>
      </c>
      <c r="W161" s="237">
        <f>32+3+1</f>
        <v>36</v>
      </c>
      <c r="X161" s="237">
        <f>AL161</f>
        <v>2</v>
      </c>
      <c r="Y161" s="120"/>
      <c r="Z161" s="96">
        <f>SUM(U161:X161)</f>
        <v>38</v>
      </c>
      <c r="AA161" s="97">
        <f>IF(C161=2016, Z161/3,Z161)+Y161</f>
        <v>38</v>
      </c>
      <c r="AB161" s="22"/>
      <c r="AC161" s="237"/>
      <c r="AD161" s="237"/>
      <c r="AE161" s="237"/>
      <c r="AF161" s="237"/>
      <c r="AG161" s="237">
        <f>0</f>
        <v>0</v>
      </c>
      <c r="AH161" s="237">
        <f>0+2</f>
        <v>2</v>
      </c>
      <c r="AI161" s="240"/>
      <c r="AJ161" s="95"/>
      <c r="AK161" s="96">
        <f>SUM(AC161:AI161)</f>
        <v>2</v>
      </c>
      <c r="AL161" s="97">
        <f>IF(C161=2015, AK161/3,AK161)+AJ161</f>
        <v>2</v>
      </c>
    </row>
    <row r="162" spans="1:38" x14ac:dyDescent="0.25">
      <c r="A162" s="45" t="s">
        <v>882</v>
      </c>
      <c r="B162" s="66" t="s">
        <v>406</v>
      </c>
      <c r="C162" s="46">
        <v>2016</v>
      </c>
      <c r="D162" s="1">
        <f>R162+F162+E162</f>
        <v>2</v>
      </c>
      <c r="E162" s="108"/>
      <c r="F162" s="108"/>
      <c r="G162" s="101"/>
      <c r="H162" s="108"/>
      <c r="I162" s="108"/>
      <c r="J162" s="108"/>
      <c r="K162" s="108"/>
      <c r="L162" s="108">
        <f>2</f>
        <v>2</v>
      </c>
      <c r="M162" s="108"/>
      <c r="N162" s="108"/>
      <c r="O162" s="219">
        <f>AA162</f>
        <v>0</v>
      </c>
      <c r="P162" s="101"/>
      <c r="Q162" s="96">
        <f>AC162+I162+J162+K162+L162+M162+N162+O162</f>
        <v>2</v>
      </c>
      <c r="R162" s="97">
        <f>IF(C162=2017, Q162/3,Q162)+P162</f>
        <v>2</v>
      </c>
      <c r="U162" s="108"/>
      <c r="V162" s="108"/>
      <c r="W162" s="108"/>
      <c r="X162" s="122"/>
      <c r="Y162" s="74"/>
      <c r="Z162" s="96">
        <f>SUM(U162:X162)</f>
        <v>0</v>
      </c>
      <c r="AA162" s="97">
        <f>IF(C162=2016, Z162/3,Z162)+Y162</f>
        <v>0</v>
      </c>
      <c r="AB162" s="41"/>
      <c r="AC162" s="41"/>
      <c r="AD162" s="41"/>
      <c r="AE162" s="41"/>
      <c r="AF162" s="41"/>
      <c r="AG162" s="41"/>
      <c r="AH162" s="41"/>
      <c r="AI162" s="74"/>
    </row>
    <row r="163" spans="1:38" x14ac:dyDescent="0.25">
      <c r="A163" s="11" t="s">
        <v>614</v>
      </c>
      <c r="B163" s="60" t="s">
        <v>232</v>
      </c>
      <c r="C163" s="62"/>
      <c r="D163" s="1">
        <f>R163+F163+E163</f>
        <v>13</v>
      </c>
      <c r="G163" s="154"/>
      <c r="O163" s="219">
        <f>AA163</f>
        <v>13</v>
      </c>
      <c r="P163" s="154"/>
      <c r="Q163" s="96">
        <f>AC163+I163+J163+K163+L163+M163+N163+O163</f>
        <v>13</v>
      </c>
      <c r="R163" s="97">
        <f>IF(C163=2017, Q163/3,Q163)+P163</f>
        <v>13</v>
      </c>
      <c r="S163" s="209"/>
      <c r="T163" s="209"/>
      <c r="V163" s="50">
        <f>13</f>
        <v>13</v>
      </c>
      <c r="Y163" s="120"/>
      <c r="Z163" s="96">
        <f>SUM(U163:X163)</f>
        <v>13</v>
      </c>
      <c r="AA163" s="97">
        <f>IF(C163=2016, Z163/3,Z163)+Y163</f>
        <v>13</v>
      </c>
      <c r="AB163" s="22"/>
      <c r="AC163" s="219"/>
      <c r="AD163" s="219"/>
      <c r="AE163" s="219"/>
      <c r="AF163" s="219"/>
      <c r="AG163" s="219"/>
      <c r="AH163" s="219"/>
      <c r="AJ163" s="95"/>
      <c r="AK163" s="96">
        <f>SUM(AC163:AI163)</f>
        <v>0</v>
      </c>
      <c r="AL163" s="97">
        <f>IF(C163=2015, AK163/3,AK163)+AJ163</f>
        <v>0</v>
      </c>
    </row>
    <row r="164" spans="1:38" x14ac:dyDescent="0.25">
      <c r="A164" s="45" t="s">
        <v>468</v>
      </c>
      <c r="B164" s="66" t="s">
        <v>63</v>
      </c>
      <c r="C164" s="46">
        <v>2016</v>
      </c>
      <c r="D164" s="1">
        <f>R164+F164+E164</f>
        <v>9.6666666666666661</v>
      </c>
      <c r="E164" s="156"/>
      <c r="F164" s="156"/>
      <c r="G164" s="122"/>
      <c r="H164" s="156"/>
      <c r="I164" s="156"/>
      <c r="J164" s="156"/>
      <c r="K164" s="156"/>
      <c r="L164" s="156"/>
      <c r="M164" s="156"/>
      <c r="N164" s="156"/>
      <c r="O164" s="219">
        <f>AA164</f>
        <v>9.6666666666666661</v>
      </c>
      <c r="P164" s="122"/>
      <c r="Q164" s="96">
        <f>AC164+I164+J164+K164+L164+M164+N164+O164</f>
        <v>9.6666666666666661</v>
      </c>
      <c r="R164" s="97">
        <f>IF(C164=2017, Q164/3,Q164)+P164</f>
        <v>9.6666666666666661</v>
      </c>
      <c r="S164" s="209"/>
      <c r="T164" s="209"/>
      <c r="U164" s="108">
        <f>12</f>
        <v>12</v>
      </c>
      <c r="V164" s="108">
        <f>17</f>
        <v>17</v>
      </c>
      <c r="W164" s="108">
        <f>0</f>
        <v>0</v>
      </c>
      <c r="X164" s="108">
        <f>AL164</f>
        <v>0</v>
      </c>
      <c r="Y164" s="122"/>
      <c r="Z164" s="96">
        <f>SUM(U164:X164)</f>
        <v>29</v>
      </c>
      <c r="AA164" s="97">
        <f>IF(C164=2016, Z164/3,Z164)+Y164</f>
        <v>9.6666666666666661</v>
      </c>
      <c r="AB164" s="101"/>
      <c r="AC164" s="41"/>
      <c r="AD164" s="41"/>
      <c r="AE164" s="41"/>
      <c r="AF164" s="41"/>
      <c r="AG164" s="41"/>
      <c r="AH164" s="41">
        <f>0</f>
        <v>0</v>
      </c>
      <c r="AI164" s="236"/>
      <c r="AK164" s="96">
        <f>SUM(AC164:AI164)</f>
        <v>0</v>
      </c>
      <c r="AL164" s="97">
        <f>IF(C164=2015, AK164/3,AK164)+AJ164</f>
        <v>0</v>
      </c>
    </row>
    <row r="165" spans="1:38" x14ac:dyDescent="0.25">
      <c r="A165" s="45" t="s">
        <v>66</v>
      </c>
      <c r="B165" s="66" t="s">
        <v>63</v>
      </c>
      <c r="C165" s="46">
        <v>2015</v>
      </c>
      <c r="D165" s="1">
        <f>R165+F165+E165</f>
        <v>12</v>
      </c>
      <c r="G165" s="120"/>
      <c r="J165" s="205"/>
      <c r="K165" s="205"/>
      <c r="L165" s="205"/>
      <c r="M165" s="205"/>
      <c r="N165" s="205"/>
      <c r="O165" s="219">
        <f>AA165</f>
        <v>12</v>
      </c>
      <c r="P165" s="120"/>
      <c r="Q165" s="96">
        <f>AC165+I165+J165+K165+L165+M165+N165+O165</f>
        <v>12</v>
      </c>
      <c r="R165" s="97">
        <f>IF(C165=2017, Q165/3,Q165)+P165</f>
        <v>12</v>
      </c>
      <c r="S165" s="209"/>
      <c r="T165" s="209"/>
      <c r="U165" s="205"/>
      <c r="V165" s="205"/>
      <c r="W165" s="205"/>
      <c r="X165" s="205">
        <f>AL165</f>
        <v>12</v>
      </c>
      <c r="Y165" s="120"/>
      <c r="Z165" s="96">
        <f>SUM(U165:X165)</f>
        <v>12</v>
      </c>
      <c r="AA165" s="97">
        <f>IF(C165=2016, Z165/3,Z165)+Y165</f>
        <v>12</v>
      </c>
      <c r="AB165" s="101"/>
      <c r="AC165" s="41"/>
      <c r="AD165" s="41">
        <v>36</v>
      </c>
      <c r="AE165" s="41">
        <v>0</v>
      </c>
      <c r="AF165" s="41">
        <f>0</f>
        <v>0</v>
      </c>
      <c r="AG165" s="41"/>
      <c r="AH165" s="41"/>
      <c r="AI165" s="236"/>
      <c r="AJ165" s="95"/>
      <c r="AK165" s="96">
        <f>SUM(AC165:AI165)</f>
        <v>36</v>
      </c>
      <c r="AL165" s="97">
        <f>IF(C165=2015, AK165/3,AK165)+AJ165</f>
        <v>12</v>
      </c>
    </row>
    <row r="166" spans="1:38" x14ac:dyDescent="0.25">
      <c r="A166" s="11" t="s">
        <v>823</v>
      </c>
      <c r="B166" s="60" t="s">
        <v>587</v>
      </c>
      <c r="C166" s="62">
        <v>2013</v>
      </c>
      <c r="D166" s="1">
        <f>R166+F166+E166</f>
        <v>3</v>
      </c>
      <c r="G166" s="154"/>
      <c r="K166" s="191"/>
      <c r="L166" s="191"/>
      <c r="M166" s="191"/>
      <c r="N166" s="191">
        <f>3</f>
        <v>3</v>
      </c>
      <c r="O166" s="219">
        <f>AA166</f>
        <v>0</v>
      </c>
      <c r="P166" s="154"/>
      <c r="Q166" s="96">
        <f>AC166+I166+J166+K166+L166+M166+N166+O166</f>
        <v>3</v>
      </c>
      <c r="R166" s="97">
        <f>IF(C166=2017, Q166/3,Q166)+P166</f>
        <v>3</v>
      </c>
      <c r="S166" s="209"/>
      <c r="T166" s="209"/>
      <c r="U166" s="191"/>
      <c r="V166" s="191"/>
      <c r="W166" s="191"/>
      <c r="X166" s="191"/>
      <c r="Y166" s="120"/>
      <c r="Z166" s="96">
        <f>SUM(U166:X166)</f>
        <v>0</v>
      </c>
      <c r="AA166" s="97">
        <f>IF(C166=2016, Z166/3,Z166)+Y166</f>
        <v>0</v>
      </c>
      <c r="AB166" s="22"/>
      <c r="AC166" s="219"/>
      <c r="AD166" s="219"/>
      <c r="AE166" s="219"/>
      <c r="AF166" s="219"/>
      <c r="AG166" s="219"/>
      <c r="AH166" s="219"/>
      <c r="AJ166" s="95"/>
      <c r="AK166" s="96"/>
      <c r="AL166" s="97"/>
    </row>
    <row r="167" spans="1:38" x14ac:dyDescent="0.25">
      <c r="A167" s="11" t="s">
        <v>322</v>
      </c>
      <c r="B167" s="61" t="s">
        <v>232</v>
      </c>
      <c r="C167" s="62">
        <v>2013</v>
      </c>
      <c r="D167" s="1">
        <f>R167+F167+E167</f>
        <v>79</v>
      </c>
      <c r="G167" s="120"/>
      <c r="L167" s="174"/>
      <c r="M167" s="174"/>
      <c r="N167" s="174">
        <f>38</f>
        <v>38</v>
      </c>
      <c r="O167" s="219">
        <f>AA167</f>
        <v>41</v>
      </c>
      <c r="P167" s="120"/>
      <c r="Q167" s="96">
        <f>AC167+I167+J167+K167+L167+M167+N167+O167</f>
        <v>79</v>
      </c>
      <c r="R167" s="97">
        <f>IF(C167=2017, Q167/3,Q167)+P167</f>
        <v>79</v>
      </c>
      <c r="S167" s="238"/>
      <c r="T167" s="238"/>
      <c r="U167" s="174">
        <f>8</f>
        <v>8</v>
      </c>
      <c r="V167" s="174">
        <f>6</f>
        <v>6</v>
      </c>
      <c r="W167" s="174">
        <f>27</f>
        <v>27</v>
      </c>
      <c r="X167" s="174">
        <f>AL167</f>
        <v>0</v>
      </c>
      <c r="Y167" s="120"/>
      <c r="Z167" s="96">
        <f>SUM(U167:X167)</f>
        <v>41</v>
      </c>
      <c r="AA167" s="97">
        <f>IF(C167=2016, Z167/3,Z167)+Y167</f>
        <v>41</v>
      </c>
      <c r="AB167" s="22"/>
      <c r="AC167" s="219"/>
      <c r="AD167" s="219"/>
      <c r="AE167" s="219"/>
      <c r="AF167" s="219">
        <f>0</f>
        <v>0</v>
      </c>
      <c r="AG167" s="219"/>
      <c r="AH167" s="219"/>
      <c r="AJ167" s="95"/>
      <c r="AK167" s="96">
        <f>SUM(AC167:AI167)</f>
        <v>0</v>
      </c>
      <c r="AL167" s="97">
        <f>IF(C167=2015, AK167/3,AK167)+AJ167</f>
        <v>0</v>
      </c>
    </row>
    <row r="168" spans="1:38" x14ac:dyDescent="0.25">
      <c r="A168" s="71" t="s">
        <v>250</v>
      </c>
      <c r="B168" s="71" t="s">
        <v>232</v>
      </c>
      <c r="C168" s="72">
        <v>2013</v>
      </c>
      <c r="D168" s="1">
        <f>R168+F168+E168</f>
        <v>0</v>
      </c>
      <c r="G168" s="120"/>
      <c r="I168" s="219"/>
      <c r="J168" s="219"/>
      <c r="K168" s="219"/>
      <c r="L168" s="219"/>
      <c r="M168" s="219"/>
      <c r="N168" s="219"/>
      <c r="O168" s="219">
        <f>AA168</f>
        <v>0</v>
      </c>
      <c r="P168" s="120"/>
      <c r="Q168" s="96">
        <f>AC168+I168+J168+K168+L168+M168+N168+O168</f>
        <v>0</v>
      </c>
      <c r="R168" s="97">
        <f>IF(C168=2017, Q168/3,Q168)+P168</f>
        <v>0</v>
      </c>
      <c r="S168" s="209"/>
      <c r="T168" s="209"/>
      <c r="U168" s="219"/>
      <c r="V168" s="219"/>
      <c r="W168" s="219"/>
      <c r="X168" s="219">
        <f>AL168</f>
        <v>0</v>
      </c>
      <c r="Y168" s="120"/>
      <c r="Z168" s="96">
        <f>SUM(U168:X168)</f>
        <v>0</v>
      </c>
      <c r="AA168" s="97">
        <f>IF(C168=2016, Z168/3,Z168)+Y168</f>
        <v>0</v>
      </c>
      <c r="AB168" s="22"/>
      <c r="AC168" s="219"/>
      <c r="AD168" s="219"/>
      <c r="AE168" s="219">
        <f>0</f>
        <v>0</v>
      </c>
      <c r="AF168" s="219"/>
      <c r="AG168" s="219"/>
      <c r="AH168" s="219"/>
      <c r="AJ168" s="95"/>
      <c r="AK168" s="96">
        <f>SUM(AC168:AI168)</f>
        <v>0</v>
      </c>
      <c r="AL168" s="97">
        <f>IF(C168=2015, AK168/3,AK168)+AJ168</f>
        <v>0</v>
      </c>
    </row>
    <row r="169" spans="1:38" x14ac:dyDescent="0.25">
      <c r="A169" s="71" t="s">
        <v>477</v>
      </c>
      <c r="B169" s="71" t="s">
        <v>7</v>
      </c>
      <c r="C169" s="72">
        <v>2014</v>
      </c>
      <c r="D169" s="1">
        <f>R169+F169+E169</f>
        <v>59</v>
      </c>
      <c r="G169" s="120"/>
      <c r="O169" s="219">
        <f>AA169</f>
        <v>59</v>
      </c>
      <c r="P169" s="120"/>
      <c r="Q169" s="96">
        <f>AC169+I169+J169+K169+L169+M169+N169+O169</f>
        <v>59</v>
      </c>
      <c r="R169" s="97">
        <f>IF(C169=2017, Q169/3,Q169)+P169</f>
        <v>59</v>
      </c>
      <c r="S169" s="209"/>
      <c r="T169" s="209"/>
      <c r="U169" s="50">
        <f>17</f>
        <v>17</v>
      </c>
      <c r="V169" s="50">
        <f>25</f>
        <v>25</v>
      </c>
      <c r="W169" s="50">
        <f>0</f>
        <v>0</v>
      </c>
      <c r="X169" s="50">
        <f>AL169</f>
        <v>17</v>
      </c>
      <c r="Y169" s="120"/>
      <c r="Z169" s="96">
        <f>SUM(U169:X169)</f>
        <v>59</v>
      </c>
      <c r="AA169" s="97">
        <f>IF(C169=2016, Z169/3,Z169)+Y169</f>
        <v>59</v>
      </c>
      <c r="AB169" s="22"/>
      <c r="AC169" s="219"/>
      <c r="AD169" s="219"/>
      <c r="AE169" s="219"/>
      <c r="AF169" s="219"/>
      <c r="AG169" s="219"/>
      <c r="AH169" s="219">
        <f>17</f>
        <v>17</v>
      </c>
      <c r="AJ169" s="95"/>
      <c r="AK169" s="96">
        <f>SUM(AC169:AI169)</f>
        <v>17</v>
      </c>
      <c r="AL169" s="97">
        <f>IF(C169=2015, AK169/3,AK169)+AJ169</f>
        <v>17</v>
      </c>
    </row>
    <row r="170" spans="1:38" x14ac:dyDescent="0.25">
      <c r="A170" s="71" t="s">
        <v>487</v>
      </c>
      <c r="B170" s="71" t="s">
        <v>7</v>
      </c>
      <c r="C170" s="72">
        <v>2014</v>
      </c>
      <c r="D170" s="1">
        <f>R170+F170+E170</f>
        <v>197</v>
      </c>
      <c r="G170" s="120"/>
      <c r="J170" s="205"/>
      <c r="K170" s="205"/>
      <c r="L170" s="205">
        <f>0</f>
        <v>0</v>
      </c>
      <c r="M170" s="205">
        <f>22</f>
        <v>22</v>
      </c>
      <c r="N170" s="205">
        <f>12</f>
        <v>12</v>
      </c>
      <c r="O170" s="219">
        <f>AA170</f>
        <v>163</v>
      </c>
      <c r="P170" s="120"/>
      <c r="Q170" s="96">
        <f>AC170+I170+J170+K170+L170+M170+N170+O170</f>
        <v>197</v>
      </c>
      <c r="R170" s="97">
        <f>IF(C170=2017, Q170/3,Q170)+P170</f>
        <v>197</v>
      </c>
      <c r="S170" s="209"/>
      <c r="T170" s="209"/>
      <c r="U170" s="205">
        <f>36+24</f>
        <v>60</v>
      </c>
      <c r="V170" s="205">
        <f>12</f>
        <v>12</v>
      </c>
      <c r="W170" s="205">
        <f>16+21+1</f>
        <v>38</v>
      </c>
      <c r="X170" s="205">
        <f>AL170</f>
        <v>53</v>
      </c>
      <c r="Y170" s="120"/>
      <c r="Z170" s="96">
        <f>SUM(U170:X170)</f>
        <v>163</v>
      </c>
      <c r="AA170" s="97">
        <f>IF(C170=2016, Z170/3,Z170)+Y170</f>
        <v>163</v>
      </c>
      <c r="AB170" s="22"/>
      <c r="AC170" s="237"/>
      <c r="AD170" s="237"/>
      <c r="AE170" s="237"/>
      <c r="AF170" s="237"/>
      <c r="AG170" s="237"/>
      <c r="AH170" s="237">
        <f>36+15+2</f>
        <v>53</v>
      </c>
      <c r="AI170" s="240"/>
      <c r="AJ170" s="95"/>
      <c r="AK170" s="96">
        <f>SUM(AC170:AI170)</f>
        <v>53</v>
      </c>
      <c r="AL170" s="97">
        <f>IF(C170=2015, AK170/3,AK170)+AJ170</f>
        <v>53</v>
      </c>
    </row>
    <row r="171" spans="1:38" x14ac:dyDescent="0.25">
      <c r="A171" s="71" t="s">
        <v>404</v>
      </c>
      <c r="B171" s="71" t="s">
        <v>7</v>
      </c>
      <c r="C171" s="72">
        <v>2013</v>
      </c>
      <c r="D171" s="1">
        <f>R171+F171+E171</f>
        <v>91</v>
      </c>
      <c r="G171" s="120"/>
      <c r="M171" s="50">
        <f>50</f>
        <v>50</v>
      </c>
      <c r="O171" s="219">
        <f>AA171</f>
        <v>41</v>
      </c>
      <c r="P171" s="120"/>
      <c r="Q171" s="96">
        <f>AC171+I171+J171+K171+L171+M171+N171+O171</f>
        <v>91</v>
      </c>
      <c r="R171" s="97">
        <f>IF(C171=2017, Q171/3,Q171)+P171</f>
        <v>91</v>
      </c>
      <c r="S171" s="209"/>
      <c r="T171" s="209"/>
      <c r="V171" s="50">
        <f>0</f>
        <v>0</v>
      </c>
      <c r="W171" s="50">
        <f>0+3+1</f>
        <v>4</v>
      </c>
      <c r="X171" s="50">
        <f>AL171</f>
        <v>37</v>
      </c>
      <c r="Y171" s="120"/>
      <c r="Z171" s="96">
        <f>SUM(U171:X171)</f>
        <v>41</v>
      </c>
      <c r="AA171" s="97">
        <f>IF(C171=2016, Z171/3,Z171)+Y171</f>
        <v>41</v>
      </c>
      <c r="AB171" s="22"/>
      <c r="AC171" s="219"/>
      <c r="AD171" s="219"/>
      <c r="AE171" s="219"/>
      <c r="AF171" s="219"/>
      <c r="AG171" s="219">
        <f>21</f>
        <v>21</v>
      </c>
      <c r="AH171" s="219">
        <f>14+2</f>
        <v>16</v>
      </c>
      <c r="AJ171" s="95"/>
      <c r="AK171" s="96">
        <f>SUM(AC171:AI171)</f>
        <v>37</v>
      </c>
      <c r="AL171" s="97">
        <f>IF(C171=2015, AK171/3,AK171)+AJ171</f>
        <v>37</v>
      </c>
    </row>
    <row r="172" spans="1:38" x14ac:dyDescent="0.25">
      <c r="A172" s="45" t="s">
        <v>69</v>
      </c>
      <c r="B172" s="66" t="s">
        <v>64</v>
      </c>
      <c r="C172" s="46">
        <v>2016</v>
      </c>
      <c r="D172" s="1">
        <f>R172+F172+E172</f>
        <v>4</v>
      </c>
      <c r="E172" s="156"/>
      <c r="F172" s="156"/>
      <c r="G172" s="122"/>
      <c r="H172" s="156"/>
      <c r="I172" s="156"/>
      <c r="J172" s="156"/>
      <c r="K172" s="156"/>
      <c r="L172" s="156"/>
      <c r="M172" s="156"/>
      <c r="N172" s="156"/>
      <c r="O172" s="219">
        <f>AA172</f>
        <v>4</v>
      </c>
      <c r="P172" s="122"/>
      <c r="Q172" s="96">
        <f>AC172+I172+J172+K172+L172+M172+N172+O172</f>
        <v>4</v>
      </c>
      <c r="R172" s="97">
        <f>IF(C172=2017, Q172/3,Q172)+P172</f>
        <v>4</v>
      </c>
      <c r="S172" s="209"/>
      <c r="T172" s="209"/>
      <c r="U172" s="108"/>
      <c r="V172" s="108"/>
      <c r="W172" s="108"/>
      <c r="X172" s="108">
        <f>AL172</f>
        <v>12</v>
      </c>
      <c r="Y172" s="122"/>
      <c r="Z172" s="96">
        <f>SUM(U172:X172)</f>
        <v>12</v>
      </c>
      <c r="AA172" s="97">
        <f>IF(C172=2016, Z172/3,Z172)+Y172</f>
        <v>4</v>
      </c>
      <c r="AB172" s="101"/>
      <c r="AC172" s="41"/>
      <c r="AD172" s="41">
        <v>12</v>
      </c>
      <c r="AE172" s="41"/>
      <c r="AF172" s="41"/>
      <c r="AG172" s="41"/>
      <c r="AH172" s="41"/>
      <c r="AI172" s="217"/>
      <c r="AK172" s="96">
        <f>SUM(AC172:AI172)</f>
        <v>12</v>
      </c>
      <c r="AL172" s="97">
        <f>IF(C172=2015, AK172/3,AK172)+AJ172</f>
        <v>12</v>
      </c>
    </row>
    <row r="173" spans="1:38" x14ac:dyDescent="0.25">
      <c r="A173" s="71" t="s">
        <v>739</v>
      </c>
      <c r="B173" s="71" t="s">
        <v>63</v>
      </c>
      <c r="C173" s="72">
        <v>2015</v>
      </c>
      <c r="D173" s="1">
        <f>R173+F173+E173</f>
        <v>24</v>
      </c>
      <c r="G173" s="154"/>
      <c r="J173" s="205"/>
      <c r="K173" s="205"/>
      <c r="L173" s="205"/>
      <c r="M173" s="205">
        <f>13</f>
        <v>13</v>
      </c>
      <c r="N173" s="205">
        <f>11</f>
        <v>11</v>
      </c>
      <c r="O173" s="219">
        <f>AA173</f>
        <v>0</v>
      </c>
      <c r="P173" s="154"/>
      <c r="Q173" s="96">
        <f>AC173+I173+J173+K173+L173+M173+N173+O173</f>
        <v>24</v>
      </c>
      <c r="R173" s="97">
        <f>IF(C173=2017, Q173/3,Q173)+P173</f>
        <v>24</v>
      </c>
      <c r="S173" s="209"/>
      <c r="T173" s="209"/>
      <c r="U173" s="205"/>
      <c r="V173" s="205"/>
      <c r="W173" s="205"/>
      <c r="X173" s="205"/>
      <c r="Y173" s="120"/>
      <c r="Z173" s="96">
        <f>SUM(U173:X173)</f>
        <v>0</v>
      </c>
      <c r="AA173" s="97">
        <f>IF(C173=2016, Z173/3,Z173)+Y173</f>
        <v>0</v>
      </c>
      <c r="AB173" s="22"/>
      <c r="AC173" s="237"/>
      <c r="AD173" s="237"/>
      <c r="AE173" s="237"/>
      <c r="AF173" s="237"/>
      <c r="AG173" s="237"/>
      <c r="AH173" s="237"/>
      <c r="AI173" s="240"/>
      <c r="AJ173" s="95"/>
      <c r="AK173" s="96">
        <f>SUM(AC173:AI173)</f>
        <v>0</v>
      </c>
      <c r="AL173" s="97">
        <f>IF(C173=2015, AK173/3,AK173)+AJ173</f>
        <v>0</v>
      </c>
    </row>
    <row r="174" spans="1:38" x14ac:dyDescent="0.25">
      <c r="A174" s="11" t="s">
        <v>46</v>
      </c>
      <c r="B174" s="11" t="s">
        <v>40</v>
      </c>
      <c r="C174" s="3">
        <v>2013</v>
      </c>
      <c r="D174" s="1">
        <f>R174+F174+E174</f>
        <v>8</v>
      </c>
      <c r="G174" s="120"/>
      <c r="J174" s="205"/>
      <c r="K174" s="205"/>
      <c r="L174" s="205"/>
      <c r="M174" s="205"/>
      <c r="N174" s="205"/>
      <c r="O174" s="219">
        <f>AA174</f>
        <v>4</v>
      </c>
      <c r="P174" s="120"/>
      <c r="Q174" s="96">
        <f>AC174+I174+J174+K174+L174+M174+N174+O174</f>
        <v>8</v>
      </c>
      <c r="R174" s="97">
        <f>IF(C174=2017, Q174/3,Q174)+P174</f>
        <v>8</v>
      </c>
      <c r="S174" s="209"/>
      <c r="T174" s="209"/>
      <c r="U174" s="205"/>
      <c r="V174" s="205"/>
      <c r="W174" s="205"/>
      <c r="X174" s="205">
        <f>AL174</f>
        <v>4</v>
      </c>
      <c r="Y174" s="120"/>
      <c r="Z174" s="96">
        <f>SUM(U174:X174)</f>
        <v>4</v>
      </c>
      <c r="AA174" s="97">
        <f>IF(C174=2016, Z174/3,Z174)+Y174</f>
        <v>4</v>
      </c>
      <c r="AB174" s="22"/>
      <c r="AC174" s="237">
        <v>4</v>
      </c>
      <c r="AD174" s="237"/>
      <c r="AE174" s="237"/>
      <c r="AF174" s="237"/>
      <c r="AG174" s="237"/>
      <c r="AH174" s="237"/>
      <c r="AI174" s="240"/>
      <c r="AJ174" s="95"/>
      <c r="AK174" s="96">
        <f>SUM(AC174:AI174)</f>
        <v>4</v>
      </c>
      <c r="AL174" s="97">
        <f>IF(C174=2015, AK174/3,AK174)+AJ174</f>
        <v>4</v>
      </c>
    </row>
    <row r="175" spans="1:38" x14ac:dyDescent="0.25">
      <c r="A175" s="71" t="s">
        <v>688</v>
      </c>
      <c r="B175" s="71" t="s">
        <v>551</v>
      </c>
      <c r="C175" s="72">
        <v>2013</v>
      </c>
      <c r="D175" s="1">
        <f>R175+F175+E175</f>
        <v>28</v>
      </c>
      <c r="G175" s="154"/>
      <c r="O175" s="219">
        <f>AA175</f>
        <v>28</v>
      </c>
      <c r="P175" s="154"/>
      <c r="Q175" s="96">
        <f>AC175+I175+J175+K175+L175+M175+N175+O175</f>
        <v>28</v>
      </c>
      <c r="R175" s="97">
        <f>IF(C175=2017, Q175/3,Q175)+P175</f>
        <v>28</v>
      </c>
      <c r="S175" s="209"/>
      <c r="T175" s="209"/>
      <c r="U175" s="50">
        <f>28</f>
        <v>28</v>
      </c>
      <c r="Y175" s="120"/>
      <c r="Z175" s="96">
        <f>SUM(U175:X175)</f>
        <v>28</v>
      </c>
      <c r="AA175" s="97">
        <f>IF(C175=2016, Z175/3,Z175)+Y175</f>
        <v>28</v>
      </c>
      <c r="AB175" s="22"/>
      <c r="AC175" s="219"/>
      <c r="AD175" s="219"/>
      <c r="AE175" s="219"/>
      <c r="AF175" s="219"/>
      <c r="AG175" s="219"/>
      <c r="AH175" s="219"/>
      <c r="AJ175" s="95"/>
      <c r="AK175" s="96">
        <f>SUM(AC175:AI175)</f>
        <v>0</v>
      </c>
      <c r="AL175" s="97">
        <f>IF(C175=2015, AK175/3,AK175)+AJ175</f>
        <v>0</v>
      </c>
    </row>
    <row r="176" spans="1:38" x14ac:dyDescent="0.25">
      <c r="A176" s="11" t="s">
        <v>887</v>
      </c>
      <c r="B176" s="60" t="s">
        <v>6</v>
      </c>
      <c r="C176" s="62">
        <v>2014</v>
      </c>
      <c r="D176" s="1">
        <f>R176+F176+E176</f>
        <v>110</v>
      </c>
      <c r="E176" s="233">
        <f>39+11</f>
        <v>50</v>
      </c>
      <c r="G176" s="154"/>
      <c r="L176" s="170">
        <f>50+10</f>
        <v>60</v>
      </c>
      <c r="O176" s="219">
        <f>AA176</f>
        <v>0</v>
      </c>
      <c r="P176" s="154"/>
      <c r="Q176" s="96">
        <f>AC176+I176+J176+K176+L176+M176+N176+O176</f>
        <v>60</v>
      </c>
      <c r="R176" s="97">
        <f>IF(C176=2017, Q176/3,Q176)+P176</f>
        <v>60</v>
      </c>
      <c r="Y176" s="120"/>
      <c r="Z176" s="96">
        <f>SUM(U176:X176)</f>
        <v>0</v>
      </c>
      <c r="AA176" s="97">
        <f>IF(C176=2016, Z176/3,Z176)+Y176</f>
        <v>0</v>
      </c>
      <c r="AB176" s="22"/>
      <c r="AC176" s="205"/>
      <c r="AD176" s="205"/>
      <c r="AE176" s="205"/>
      <c r="AF176" s="205"/>
      <c r="AG176" s="205"/>
      <c r="AH176" s="205"/>
      <c r="AJ176" s="95"/>
      <c r="AK176" s="96"/>
      <c r="AL176" s="97"/>
    </row>
    <row r="177" spans="1:38" x14ac:dyDescent="0.25">
      <c r="A177" s="71" t="s">
        <v>617</v>
      </c>
      <c r="B177" s="71" t="s">
        <v>479</v>
      </c>
      <c r="C177" s="72">
        <v>2014</v>
      </c>
      <c r="D177" s="1">
        <f>R177+F177+E177</f>
        <v>10</v>
      </c>
      <c r="E177" s="233">
        <f>4</f>
        <v>4</v>
      </c>
      <c r="G177" s="154"/>
      <c r="O177" s="219">
        <f>AA177</f>
        <v>6</v>
      </c>
      <c r="P177" s="154"/>
      <c r="Q177" s="96">
        <f>AC177+I177+J177+K177+L177+M177+N177+O177</f>
        <v>6</v>
      </c>
      <c r="R177" s="97">
        <f>IF(C177=2017, Q177/3,Q177)+P177</f>
        <v>6</v>
      </c>
      <c r="S177" s="209"/>
      <c r="T177" s="209"/>
      <c r="V177" s="50">
        <f>6</f>
        <v>6</v>
      </c>
      <c r="Y177" s="120"/>
      <c r="Z177" s="96">
        <f>SUM(U177:X177)</f>
        <v>6</v>
      </c>
      <c r="AA177" s="97">
        <f>IF(C177=2016, Z177/3,Z177)+Y177</f>
        <v>6</v>
      </c>
      <c r="AB177" s="22"/>
      <c r="AC177" s="205"/>
      <c r="AD177" s="205"/>
      <c r="AE177" s="205"/>
      <c r="AF177" s="205"/>
      <c r="AG177" s="205"/>
      <c r="AH177" s="205"/>
      <c r="AJ177" s="95"/>
      <c r="AK177" s="96">
        <f>SUM(AC177:AI177)</f>
        <v>0</v>
      </c>
      <c r="AL177" s="97">
        <f>IF(C177=2015, AK177/3,AK177)+AJ177</f>
        <v>0</v>
      </c>
    </row>
    <row r="178" spans="1:38" x14ac:dyDescent="0.25">
      <c r="A178" s="71" t="s">
        <v>764</v>
      </c>
      <c r="B178" s="71" t="s">
        <v>297</v>
      </c>
      <c r="C178" s="72">
        <v>2013</v>
      </c>
      <c r="D178" s="1">
        <f>R178+F178+E178</f>
        <v>0</v>
      </c>
      <c r="G178" s="154"/>
      <c r="J178" s="205"/>
      <c r="K178" s="205"/>
      <c r="L178" s="205"/>
      <c r="M178" s="205"/>
      <c r="N178" s="205">
        <f>0</f>
        <v>0</v>
      </c>
      <c r="O178" s="219">
        <f>AA178</f>
        <v>0</v>
      </c>
      <c r="P178" s="154"/>
      <c r="Q178" s="96">
        <f>AC178+I178+J178+K178+L178+M178+N178+O178</f>
        <v>0</v>
      </c>
      <c r="R178" s="97">
        <f>IF(C178=2017, Q178/3,Q178)+P178</f>
        <v>0</v>
      </c>
      <c r="S178" s="209"/>
      <c r="T178" s="209"/>
      <c r="U178" s="205"/>
      <c r="V178" s="205"/>
      <c r="W178" s="205"/>
      <c r="X178" s="205"/>
      <c r="Y178" s="120"/>
      <c r="Z178" s="96">
        <f>SUM(U178:X178)</f>
        <v>0</v>
      </c>
      <c r="AA178" s="97">
        <f>IF(C178=2016, Z178/3,Z178)+Y178</f>
        <v>0</v>
      </c>
      <c r="AB178" s="22"/>
      <c r="AC178" s="205"/>
      <c r="AD178" s="205"/>
      <c r="AE178" s="205"/>
      <c r="AF178" s="205"/>
      <c r="AG178" s="205"/>
      <c r="AH178" s="205"/>
      <c r="AJ178" s="95"/>
      <c r="AK178" s="96"/>
      <c r="AL178" s="97"/>
    </row>
    <row r="179" spans="1:38" x14ac:dyDescent="0.25">
      <c r="A179" s="71" t="s">
        <v>872</v>
      </c>
      <c r="B179" s="71" t="s">
        <v>479</v>
      </c>
      <c r="C179" s="72">
        <v>2015</v>
      </c>
      <c r="D179" s="1">
        <f>R179+F179+E179</f>
        <v>1</v>
      </c>
      <c r="E179" s="233">
        <f>0</f>
        <v>0</v>
      </c>
      <c r="G179" s="154"/>
      <c r="I179" s="219"/>
      <c r="J179" s="219"/>
      <c r="K179" s="219"/>
      <c r="L179" s="219"/>
      <c r="M179" s="219">
        <f>1</f>
        <v>1</v>
      </c>
      <c r="N179" s="219"/>
      <c r="O179" s="219">
        <f>AA179</f>
        <v>0</v>
      </c>
      <c r="P179" s="154"/>
      <c r="Q179" s="96">
        <f>AC179+I179+J179+K179+L179+M179+N179+O179</f>
        <v>1</v>
      </c>
      <c r="R179" s="97">
        <f>IF(C179=2017, Q179/3,Q179)+P179</f>
        <v>1</v>
      </c>
      <c r="U179" s="219"/>
      <c r="V179" s="219"/>
      <c r="W179" s="219"/>
      <c r="X179" s="219"/>
      <c r="Y179" s="120"/>
      <c r="Z179" s="96">
        <f>SUM(U179:X179)</f>
        <v>0</v>
      </c>
      <c r="AA179" s="97">
        <f>IF(C179=2016, Z179/3,Z179)+Y179</f>
        <v>0</v>
      </c>
      <c r="AB179" s="22"/>
      <c r="AC179" s="219"/>
      <c r="AD179" s="219"/>
      <c r="AE179" s="219"/>
      <c r="AF179" s="219"/>
      <c r="AG179" s="219"/>
      <c r="AH179" s="219"/>
      <c r="AJ179" s="95"/>
      <c r="AK179" s="96"/>
      <c r="AL179" s="97"/>
    </row>
    <row r="180" spans="1:38" x14ac:dyDescent="0.25">
      <c r="A180" s="71" t="s">
        <v>735</v>
      </c>
      <c r="B180" s="71" t="s">
        <v>63</v>
      </c>
      <c r="C180" s="72">
        <v>2014</v>
      </c>
      <c r="D180" s="1">
        <f>R180+F180+E180</f>
        <v>22</v>
      </c>
      <c r="G180" s="154"/>
      <c r="I180" s="205">
        <f>0</f>
        <v>0</v>
      </c>
      <c r="J180" s="196">
        <f>0</f>
        <v>0</v>
      </c>
      <c r="K180" s="191">
        <f>0+2</f>
        <v>2</v>
      </c>
      <c r="L180" s="191">
        <f>0</f>
        <v>0</v>
      </c>
      <c r="M180" s="191">
        <f>18+2</f>
        <v>20</v>
      </c>
      <c r="N180" s="191">
        <f>0</f>
        <v>0</v>
      </c>
      <c r="O180" s="219">
        <f>AA180</f>
        <v>0</v>
      </c>
      <c r="P180" s="154"/>
      <c r="Q180" s="96">
        <f>AC180+I180+J180+K180+L180+M180+N180+O180</f>
        <v>22</v>
      </c>
      <c r="R180" s="97">
        <f>IF(C180=2017, Q180/3,Q180)+P180</f>
        <v>22</v>
      </c>
      <c r="S180" s="209"/>
      <c r="T180" s="209"/>
      <c r="Y180" s="120"/>
      <c r="Z180" s="96">
        <f>SUM(U180:X180)</f>
        <v>0</v>
      </c>
      <c r="AA180" s="97">
        <f>IF(C180=2016, Z180/3,Z180)+Y180</f>
        <v>0</v>
      </c>
      <c r="AB180" s="22"/>
      <c r="AC180" s="205"/>
      <c r="AD180" s="205"/>
      <c r="AE180" s="205"/>
      <c r="AF180" s="205"/>
      <c r="AG180" s="205"/>
      <c r="AH180" s="205"/>
      <c r="AJ180" s="95"/>
      <c r="AK180" s="96">
        <f>SUM(AC180:AI180)</f>
        <v>0</v>
      </c>
      <c r="AL180" s="97">
        <f>IF(C180=2015, AK180/3,AK180)+AJ180</f>
        <v>0</v>
      </c>
    </row>
    <row r="181" spans="1:38" x14ac:dyDescent="0.25">
      <c r="A181" s="11" t="s">
        <v>483</v>
      </c>
      <c r="B181" s="11" t="s">
        <v>273</v>
      </c>
      <c r="C181" s="3">
        <v>2014</v>
      </c>
      <c r="D181" s="1">
        <f>R181+F181+E181</f>
        <v>0</v>
      </c>
      <c r="E181" s="237"/>
      <c r="F181" s="237"/>
      <c r="G181" s="120"/>
      <c r="H181" s="237"/>
      <c r="I181" s="237"/>
      <c r="J181" s="237"/>
      <c r="K181" s="237"/>
      <c r="L181" s="237"/>
      <c r="M181" s="237"/>
      <c r="N181" s="237"/>
      <c r="O181" s="219">
        <f>AA181</f>
        <v>0</v>
      </c>
      <c r="P181" s="120"/>
      <c r="Q181" s="96">
        <f>AC181+I181+J181+K181+L181+M181+N181+O181</f>
        <v>0</v>
      </c>
      <c r="R181" s="97">
        <f>IF(C181=2017, Q181/3,Q181)+P181</f>
        <v>0</v>
      </c>
      <c r="S181" s="238"/>
      <c r="T181" s="238"/>
      <c r="U181" s="237"/>
      <c r="V181" s="237"/>
      <c r="W181" s="237"/>
      <c r="X181" s="237">
        <f>AL181</f>
        <v>0</v>
      </c>
      <c r="Y181" s="120"/>
      <c r="Z181" s="96">
        <f>SUM(U181:X181)</f>
        <v>0</v>
      </c>
      <c r="AA181" s="97">
        <f>IF(C181=2016, Z181/3,Z181)+Y181</f>
        <v>0</v>
      </c>
      <c r="AB181" s="22"/>
      <c r="AC181" s="237"/>
      <c r="AD181" s="237"/>
      <c r="AE181" s="237"/>
      <c r="AF181" s="237"/>
      <c r="AG181" s="237"/>
      <c r="AH181" s="237">
        <f>0</f>
        <v>0</v>
      </c>
      <c r="AI181" s="240"/>
      <c r="AJ181" s="95"/>
      <c r="AK181" s="96">
        <f>SUM(AC181:AI181)</f>
        <v>0</v>
      </c>
      <c r="AL181" s="97">
        <f>IF(C181=2015, AK181/3,AK181)+AJ181</f>
        <v>0</v>
      </c>
    </row>
    <row r="182" spans="1:38" x14ac:dyDescent="0.25">
      <c r="A182" s="45" t="s">
        <v>881</v>
      </c>
      <c r="B182" s="66" t="s">
        <v>406</v>
      </c>
      <c r="C182" s="46">
        <v>2017</v>
      </c>
      <c r="D182" s="1">
        <f>R182+F182+E182</f>
        <v>2.3333333333333335</v>
      </c>
      <c r="E182" s="108"/>
      <c r="F182" s="108"/>
      <c r="G182" s="122"/>
      <c r="H182" s="108"/>
      <c r="I182" s="108">
        <f>1</f>
        <v>1</v>
      </c>
      <c r="J182" s="108"/>
      <c r="K182" s="108"/>
      <c r="L182" s="108">
        <f>5+1</f>
        <v>6</v>
      </c>
      <c r="M182" s="108"/>
      <c r="N182" s="108"/>
      <c r="O182" s="219">
        <f>AA182</f>
        <v>0</v>
      </c>
      <c r="P182" s="122"/>
      <c r="Q182" s="96">
        <f>AC182+I182+J182+K182+L182+M182+N182+O182</f>
        <v>7</v>
      </c>
      <c r="R182" s="97">
        <f>IF(C182=2017, Q182/3,Q182)+P182</f>
        <v>2.3333333333333335</v>
      </c>
      <c r="S182" s="101"/>
      <c r="T182" s="108"/>
      <c r="U182" s="108"/>
      <c r="V182" s="108"/>
      <c r="W182" s="108"/>
      <c r="X182" s="108"/>
      <c r="Y182" s="122"/>
      <c r="Z182" s="96">
        <f>SUM(U182:X182)</f>
        <v>0</v>
      </c>
      <c r="AA182" s="97">
        <f>IF(C182=2016, Z182/3,Z182)+Y182</f>
        <v>0</v>
      </c>
      <c r="AB182" s="101"/>
      <c r="AC182" s="41"/>
      <c r="AD182" s="41"/>
      <c r="AE182" s="41"/>
      <c r="AF182" s="41"/>
      <c r="AG182" s="41"/>
      <c r="AH182" s="41"/>
      <c r="AI182" s="236"/>
    </row>
    <row r="183" spans="1:38" x14ac:dyDescent="0.25">
      <c r="A183" s="45" t="s">
        <v>432</v>
      </c>
      <c r="B183" s="66" t="s">
        <v>406</v>
      </c>
      <c r="C183" s="46">
        <v>2015</v>
      </c>
      <c r="D183" s="1">
        <f>R183+F183+E183</f>
        <v>0</v>
      </c>
      <c r="G183" s="120"/>
      <c r="O183" s="219">
        <f>AA183</f>
        <v>0</v>
      </c>
      <c r="P183" s="120"/>
      <c r="Q183" s="96">
        <f>AC183+I183+J183+K183+L183+M183+N183+O183</f>
        <v>0</v>
      </c>
      <c r="R183" s="97">
        <f>IF(C183=2017, Q183/3,Q183)+P183</f>
        <v>0</v>
      </c>
      <c r="S183" s="209"/>
      <c r="T183" s="209"/>
      <c r="X183" s="50">
        <f>AL183</f>
        <v>0</v>
      </c>
      <c r="Y183" s="120"/>
      <c r="Z183" s="96">
        <f>SUM(U183:X183)</f>
        <v>0</v>
      </c>
      <c r="AA183" s="97">
        <f>IF(C183=2016, Z183/3,Z183)+Y183</f>
        <v>0</v>
      </c>
      <c r="AB183" s="101"/>
      <c r="AC183" s="41"/>
      <c r="AD183" s="41"/>
      <c r="AE183" s="41"/>
      <c r="AF183" s="41"/>
      <c r="AG183" s="41">
        <f>0</f>
        <v>0</v>
      </c>
      <c r="AH183" s="41"/>
      <c r="AI183" s="236"/>
      <c r="AJ183" s="95"/>
      <c r="AK183" s="96">
        <f>SUM(AC183:AI183)</f>
        <v>0</v>
      </c>
      <c r="AL183" s="97">
        <f>IF(C183=2015, AK183/3,AK183)+AJ183</f>
        <v>0</v>
      </c>
    </row>
    <row r="184" spans="1:38" x14ac:dyDescent="0.25">
      <c r="A184" s="11" t="s">
        <v>839</v>
      </c>
      <c r="B184" s="11" t="s">
        <v>479</v>
      </c>
      <c r="C184" s="3">
        <v>2014</v>
      </c>
      <c r="D184" s="1">
        <f>R184+F184+E184</f>
        <v>16</v>
      </c>
      <c r="E184" s="237"/>
      <c r="F184" s="237"/>
      <c r="G184" s="154"/>
      <c r="H184" s="237"/>
      <c r="I184" s="237"/>
      <c r="J184" s="237"/>
      <c r="K184" s="237"/>
      <c r="L184" s="237"/>
      <c r="M184" s="237">
        <f>13+2+1</f>
        <v>16</v>
      </c>
      <c r="N184" s="237"/>
      <c r="O184" s="219">
        <f>AA184</f>
        <v>0</v>
      </c>
      <c r="P184" s="154"/>
      <c r="Q184" s="96">
        <f>AC184+I184+J184+K184+L184+M184+N184+O184</f>
        <v>16</v>
      </c>
      <c r="R184" s="97">
        <f>IF(C184=2017, Q184/3,Q184)+P184</f>
        <v>16</v>
      </c>
      <c r="S184" s="238"/>
      <c r="T184" s="238"/>
      <c r="U184" s="237">
        <f>0</f>
        <v>0</v>
      </c>
      <c r="V184" s="237"/>
      <c r="W184" s="237"/>
      <c r="X184" s="237"/>
      <c r="Y184" s="120"/>
      <c r="Z184" s="96">
        <f>SUM(U184:X184)</f>
        <v>0</v>
      </c>
      <c r="AA184" s="97">
        <f>IF(C184=2016, Z184/3,Z184)+Y184</f>
        <v>0</v>
      </c>
      <c r="AB184" s="22"/>
      <c r="AC184" s="237"/>
      <c r="AD184" s="237"/>
      <c r="AE184" s="237"/>
      <c r="AF184" s="237"/>
      <c r="AG184" s="237"/>
      <c r="AH184" s="237"/>
      <c r="AI184" s="240"/>
      <c r="AJ184" s="95"/>
      <c r="AK184" s="96">
        <f>SUM(AC184:AI184)</f>
        <v>0</v>
      </c>
      <c r="AL184" s="97">
        <f>IF(C184=2015, AK184/3,AK184)+AJ184</f>
        <v>0</v>
      </c>
    </row>
    <row r="185" spans="1:38" x14ac:dyDescent="0.25">
      <c r="A185" s="45" t="s">
        <v>773</v>
      </c>
      <c r="B185" s="66" t="s">
        <v>63</v>
      </c>
      <c r="C185" s="46">
        <v>2015</v>
      </c>
      <c r="D185" s="1">
        <f>R185+F185+E185</f>
        <v>72</v>
      </c>
      <c r="E185" s="156"/>
      <c r="F185" s="156"/>
      <c r="G185" s="154"/>
      <c r="H185" s="156"/>
      <c r="I185" s="156">
        <f>21+2</f>
        <v>23</v>
      </c>
      <c r="J185" s="156">
        <f>9</f>
        <v>9</v>
      </c>
      <c r="K185" s="156">
        <f>6+4</f>
        <v>10</v>
      </c>
      <c r="L185" s="156">
        <f>0</f>
        <v>0</v>
      </c>
      <c r="M185" s="156">
        <f>13+1</f>
        <v>14</v>
      </c>
      <c r="N185" s="156">
        <f>16</f>
        <v>16</v>
      </c>
      <c r="O185" s="219">
        <f>AA185</f>
        <v>0</v>
      </c>
      <c r="P185" s="154"/>
      <c r="Q185" s="96">
        <f>AC185+I185+J185+K185+L185+M185+N185+O185</f>
        <v>72</v>
      </c>
      <c r="R185" s="97">
        <f>IF(C185=2017, Q185/3,Q185)+P185</f>
        <v>72</v>
      </c>
      <c r="S185" s="209"/>
      <c r="T185" s="209"/>
      <c r="U185" s="219"/>
      <c r="V185" s="219"/>
      <c r="W185" s="219"/>
      <c r="X185" s="219"/>
      <c r="Y185" s="120"/>
      <c r="Z185" s="96">
        <f>SUM(U185:X185)</f>
        <v>0</v>
      </c>
      <c r="AA185" s="97">
        <f>IF(C185=2016, Z185/3,Z185)+Y185</f>
        <v>0</v>
      </c>
      <c r="AB185" s="101"/>
      <c r="AC185" s="153"/>
      <c r="AD185" s="153"/>
      <c r="AE185" s="153"/>
      <c r="AF185" s="153"/>
      <c r="AG185" s="153"/>
      <c r="AH185" s="153"/>
      <c r="AI185" s="236"/>
      <c r="AJ185" s="95"/>
      <c r="AK185" s="96"/>
      <c r="AL185" s="97"/>
    </row>
    <row r="186" spans="1:38" x14ac:dyDescent="0.25">
      <c r="A186" s="11" t="s">
        <v>262</v>
      </c>
      <c r="B186" s="60" t="s">
        <v>64</v>
      </c>
      <c r="C186" s="62">
        <v>2014</v>
      </c>
      <c r="D186" s="1">
        <f>R186+F186+E186</f>
        <v>186</v>
      </c>
      <c r="E186" s="233">
        <f>45+36</f>
        <v>81</v>
      </c>
      <c r="G186" s="120"/>
      <c r="J186" s="196">
        <f>15+3</f>
        <v>18</v>
      </c>
      <c r="L186" s="170">
        <f>27+9+6</f>
        <v>42</v>
      </c>
      <c r="M186" s="50">
        <f>0</f>
        <v>0</v>
      </c>
      <c r="O186" s="219">
        <f>AA186</f>
        <v>45</v>
      </c>
      <c r="P186" s="120"/>
      <c r="Q186" s="96">
        <f>AC186+I186+J186+K186+L186+M186+N186+O186</f>
        <v>105</v>
      </c>
      <c r="R186" s="97">
        <f>IF(C186=2017, Q186/3,Q186)+P186</f>
        <v>105</v>
      </c>
      <c r="S186" s="238"/>
      <c r="T186" s="238"/>
      <c r="U186" s="50">
        <f>0</f>
        <v>0</v>
      </c>
      <c r="V186" s="50">
        <f>42</f>
        <v>42</v>
      </c>
      <c r="X186" s="50">
        <f>AL186</f>
        <v>3</v>
      </c>
      <c r="Y186" s="120"/>
      <c r="Z186" s="96">
        <f>SUM(U186:X186)</f>
        <v>45</v>
      </c>
      <c r="AA186" s="97">
        <f>IF(C186=2016, Z186/3,Z186)+Y186</f>
        <v>45</v>
      </c>
      <c r="AB186" s="22"/>
      <c r="AC186" s="41"/>
      <c r="AD186" s="41"/>
      <c r="AE186" s="41">
        <f>3</f>
        <v>3</v>
      </c>
      <c r="AF186" s="41"/>
      <c r="AG186" s="41"/>
      <c r="AH186" s="41"/>
      <c r="AI186" s="13"/>
      <c r="AJ186" s="95"/>
      <c r="AK186" s="96">
        <f>SUM(AC186:AI186)</f>
        <v>3</v>
      </c>
      <c r="AL186" s="97">
        <f>IF(C186=2015, AK186/3,AK186)+AJ186</f>
        <v>3</v>
      </c>
    </row>
    <row r="187" spans="1:38" x14ac:dyDescent="0.25">
      <c r="A187" s="45" t="s">
        <v>892</v>
      </c>
      <c r="B187" s="66" t="s">
        <v>297</v>
      </c>
      <c r="C187" s="46">
        <v>2013</v>
      </c>
      <c r="D187" s="1">
        <f>R187+F187+E187</f>
        <v>41</v>
      </c>
      <c r="E187" s="156"/>
      <c r="F187" s="156"/>
      <c r="G187" s="154"/>
      <c r="H187" s="156"/>
      <c r="I187" s="156"/>
      <c r="J187" s="156"/>
      <c r="K187" s="156">
        <f>15+3</f>
        <v>18</v>
      </c>
      <c r="L187" s="156">
        <f>23</f>
        <v>23</v>
      </c>
      <c r="M187" s="156"/>
      <c r="N187" s="156"/>
      <c r="O187" s="219">
        <f>AA187</f>
        <v>0</v>
      </c>
      <c r="P187" s="154"/>
      <c r="Q187" s="96">
        <f>AC187+I187+J187+K187+L187+M187+N187+O187</f>
        <v>41</v>
      </c>
      <c r="R187" s="97">
        <f>IF(C187=2017, Q187/3,Q187)+P187</f>
        <v>41</v>
      </c>
      <c r="U187" s="205"/>
      <c r="V187" s="205"/>
      <c r="W187" s="205"/>
      <c r="X187" s="205"/>
      <c r="Y187" s="120"/>
      <c r="Z187" s="96">
        <f>SUM(U187:X187)</f>
        <v>0</v>
      </c>
      <c r="AA187" s="97">
        <f>IF(C187=2016, Z187/3,Z187)+Y187</f>
        <v>0</v>
      </c>
      <c r="AB187" s="101"/>
      <c r="AC187" s="153"/>
      <c r="AD187" s="153"/>
      <c r="AE187" s="153"/>
      <c r="AF187" s="153"/>
      <c r="AG187" s="153"/>
      <c r="AH187" s="153"/>
      <c r="AI187" s="236"/>
      <c r="AJ187" s="95"/>
      <c r="AK187" s="96"/>
      <c r="AL187" s="97"/>
    </row>
    <row r="188" spans="1:38" x14ac:dyDescent="0.25">
      <c r="A188" s="11" t="s">
        <v>628</v>
      </c>
      <c r="B188" s="60" t="s">
        <v>602</v>
      </c>
      <c r="C188" s="62"/>
      <c r="D188" s="1">
        <f>R188+F188+E188</f>
        <v>21</v>
      </c>
      <c r="G188" s="154"/>
      <c r="I188" s="219"/>
      <c r="J188" s="219"/>
      <c r="K188" s="219"/>
      <c r="L188" s="219"/>
      <c r="M188" s="219"/>
      <c r="N188" s="219"/>
      <c r="O188" s="219">
        <f>AA188</f>
        <v>21</v>
      </c>
      <c r="P188" s="154"/>
      <c r="Q188" s="96">
        <f>AC188+I188+J188+K188+L188+M188+N188+O188</f>
        <v>21</v>
      </c>
      <c r="R188" s="97">
        <f>IF(C188=2017, Q188/3,Q188)+P188</f>
        <v>21</v>
      </c>
      <c r="S188" s="209"/>
      <c r="T188" s="209"/>
      <c r="U188" s="219"/>
      <c r="V188" s="219">
        <f>21</f>
        <v>21</v>
      </c>
      <c r="W188" s="219"/>
      <c r="X188" s="219"/>
      <c r="Y188" s="120"/>
      <c r="Z188" s="96">
        <f>SUM(U188:X188)</f>
        <v>21</v>
      </c>
      <c r="AA188" s="97">
        <f>IF(C188=2016, Z188/3,Z188)+Y188</f>
        <v>21</v>
      </c>
      <c r="AB188" s="22"/>
      <c r="AC188" s="153"/>
      <c r="AD188" s="153"/>
      <c r="AE188" s="153"/>
      <c r="AF188" s="153"/>
      <c r="AG188" s="153"/>
      <c r="AH188" s="153"/>
      <c r="AI188" s="13"/>
      <c r="AJ188" s="95"/>
      <c r="AK188" s="96">
        <f>SUM(AC188:AI188)</f>
        <v>0</v>
      </c>
      <c r="AL188" s="97">
        <f>IF(C188=2015, AK188/3,AK188)+AJ188</f>
        <v>0</v>
      </c>
    </row>
    <row r="189" spans="1:38" x14ac:dyDescent="0.25">
      <c r="A189" s="71" t="s">
        <v>247</v>
      </c>
      <c r="B189" s="71" t="s">
        <v>232</v>
      </c>
      <c r="C189" s="72">
        <v>2014</v>
      </c>
      <c r="D189" s="1">
        <f>R189+F189+E189</f>
        <v>18</v>
      </c>
      <c r="G189" s="120"/>
      <c r="I189" s="219"/>
      <c r="J189" s="219"/>
      <c r="K189" s="219"/>
      <c r="L189" s="219"/>
      <c r="M189" s="219"/>
      <c r="N189" s="219"/>
      <c r="O189" s="219">
        <f>AA189</f>
        <v>18</v>
      </c>
      <c r="P189" s="120"/>
      <c r="Q189" s="96">
        <f>AC189+I189+J189+K189+L189+M189+N189+O189</f>
        <v>18</v>
      </c>
      <c r="R189" s="97">
        <f>IF(C189=2017, Q189/3,Q189)+P189</f>
        <v>18</v>
      </c>
      <c r="S189" s="222"/>
      <c r="T189" s="222"/>
      <c r="U189" s="219"/>
      <c r="V189" s="219"/>
      <c r="W189" s="219"/>
      <c r="X189" s="219">
        <f>AL189</f>
        <v>18</v>
      </c>
      <c r="Y189" s="120"/>
      <c r="Z189" s="96">
        <f>SUM(U189:X189)</f>
        <v>18</v>
      </c>
      <c r="AA189" s="97">
        <f>IF(C189=2016, Z189/3,Z189)+Y189</f>
        <v>18</v>
      </c>
      <c r="AB189" s="22"/>
      <c r="AC189" s="237"/>
      <c r="AD189" s="237"/>
      <c r="AE189" s="237">
        <f>18</f>
        <v>18</v>
      </c>
      <c r="AF189" s="237"/>
      <c r="AG189" s="237"/>
      <c r="AH189" s="237"/>
      <c r="AI189" s="240"/>
      <c r="AJ189" s="95"/>
      <c r="AK189" s="96">
        <f>SUM(AC189:AI189)</f>
        <v>18</v>
      </c>
      <c r="AL189" s="97">
        <f>IF(C189=2015, AK189/3,AK189)+AJ189</f>
        <v>18</v>
      </c>
    </row>
    <row r="190" spans="1:38" x14ac:dyDescent="0.25">
      <c r="A190" s="71" t="s">
        <v>615</v>
      </c>
      <c r="B190" s="71" t="s">
        <v>479</v>
      </c>
      <c r="C190" s="72"/>
      <c r="D190" s="1">
        <f>R190+F190+E190</f>
        <v>13</v>
      </c>
      <c r="E190" s="237"/>
      <c r="F190" s="237"/>
      <c r="G190" s="154"/>
      <c r="H190" s="237"/>
      <c r="I190" s="237"/>
      <c r="J190" s="237"/>
      <c r="K190" s="237"/>
      <c r="L190" s="237"/>
      <c r="M190" s="237"/>
      <c r="N190" s="237"/>
      <c r="O190" s="219">
        <f>AA190</f>
        <v>13</v>
      </c>
      <c r="P190" s="154"/>
      <c r="Q190" s="96">
        <f>AC190+I190+J190+K190+L190+M190+N190+O190</f>
        <v>13</v>
      </c>
      <c r="R190" s="97">
        <f>IF(C190=2017, Q190/3,Q190)+P190</f>
        <v>13</v>
      </c>
      <c r="S190" s="209"/>
      <c r="T190" s="209"/>
      <c r="U190" s="237"/>
      <c r="V190" s="237">
        <f>13</f>
        <v>13</v>
      </c>
      <c r="W190" s="237"/>
      <c r="X190" s="237"/>
      <c r="Y190" s="120"/>
      <c r="Z190" s="96">
        <f>SUM(U190:X190)</f>
        <v>13</v>
      </c>
      <c r="AA190" s="97">
        <f>IF(C190=2016, Z190/3,Z190)+Y190</f>
        <v>13</v>
      </c>
      <c r="AB190" s="22"/>
      <c r="AC190" s="237"/>
      <c r="AD190" s="237"/>
      <c r="AE190" s="237"/>
      <c r="AF190" s="237"/>
      <c r="AG190" s="237"/>
      <c r="AH190" s="237"/>
      <c r="AI190" s="240"/>
      <c r="AJ190" s="95"/>
      <c r="AK190" s="96">
        <f>SUM(AC190:AI190)</f>
        <v>0</v>
      </c>
      <c r="AL190" s="97">
        <f>IF(C190=2015, AK190/3,AK190)+AJ190</f>
        <v>0</v>
      </c>
    </row>
    <row r="191" spans="1:38" x14ac:dyDescent="0.25">
      <c r="A191" s="11" t="s">
        <v>901</v>
      </c>
      <c r="B191" s="60" t="s">
        <v>406</v>
      </c>
      <c r="C191" s="62">
        <v>2013</v>
      </c>
      <c r="D191" s="1">
        <f>R191+F191+E191</f>
        <v>24</v>
      </c>
      <c r="G191" s="154"/>
      <c r="I191" s="219">
        <f>7</f>
        <v>7</v>
      </c>
      <c r="J191" s="219"/>
      <c r="K191" s="219"/>
      <c r="L191" s="219">
        <f>0+17</f>
        <v>17</v>
      </c>
      <c r="M191" s="219"/>
      <c r="N191" s="219"/>
      <c r="O191" s="219">
        <f>AA191</f>
        <v>0</v>
      </c>
      <c r="P191" s="154"/>
      <c r="Q191" s="96">
        <f>AC191+I191+J191+K191+L191+M191+N191+O191</f>
        <v>24</v>
      </c>
      <c r="R191" s="97">
        <f>IF(C191=2017, Q191/3,Q191)+P191</f>
        <v>24</v>
      </c>
      <c r="U191" s="219"/>
      <c r="V191" s="219"/>
      <c r="W191" s="219"/>
      <c r="X191" s="219"/>
      <c r="Y191" s="120"/>
      <c r="Z191" s="96">
        <f>SUM(U191:X191)</f>
        <v>0</v>
      </c>
      <c r="AA191" s="97">
        <f>IF(C191=2016, Z191/3,Z191)+Y191</f>
        <v>0</v>
      </c>
      <c r="AB191" s="22"/>
      <c r="AC191" s="153"/>
      <c r="AD191" s="153"/>
      <c r="AE191" s="153"/>
      <c r="AF191" s="153"/>
      <c r="AG191" s="153"/>
      <c r="AH191" s="153"/>
      <c r="AI191" s="13"/>
      <c r="AJ191" s="95"/>
      <c r="AK191" s="96"/>
      <c r="AL191" s="97"/>
    </row>
    <row r="192" spans="1:38" x14ac:dyDescent="0.25">
      <c r="A192" s="11" t="s">
        <v>921</v>
      </c>
      <c r="B192" s="60" t="s">
        <v>406</v>
      </c>
      <c r="C192" s="62">
        <v>2013</v>
      </c>
      <c r="D192" s="1">
        <f>R192+F192+E192</f>
        <v>10</v>
      </c>
      <c r="G192" s="154"/>
      <c r="L192" s="170">
        <f>10</f>
        <v>10</v>
      </c>
      <c r="M192" s="170"/>
      <c r="N192" s="170"/>
      <c r="O192" s="219">
        <f>AA192</f>
        <v>0</v>
      </c>
      <c r="P192" s="154"/>
      <c r="Q192" s="96">
        <f>AC192+I192+J192+K192+L192+M192+N192+O192</f>
        <v>10</v>
      </c>
      <c r="R192" s="97">
        <f>IF(C192=2017, Q192/3,Q192)+P192</f>
        <v>10</v>
      </c>
      <c r="U192" s="170"/>
      <c r="V192" s="170"/>
      <c r="W192" s="170"/>
      <c r="X192" s="170"/>
      <c r="Y192" s="120"/>
      <c r="Z192" s="96">
        <f>SUM(U192:X192)</f>
        <v>0</v>
      </c>
      <c r="AA192" s="97">
        <f>IF(C192=2016, Z192/3,Z192)+Y192</f>
        <v>0</v>
      </c>
      <c r="AB192" s="22"/>
      <c r="AC192" s="153"/>
      <c r="AD192" s="153"/>
      <c r="AE192" s="153"/>
      <c r="AF192" s="153"/>
      <c r="AG192" s="153"/>
      <c r="AH192" s="153"/>
      <c r="AI192" s="13"/>
      <c r="AJ192" s="95"/>
      <c r="AK192" s="96"/>
      <c r="AL192" s="97"/>
    </row>
    <row r="193" spans="1:38" x14ac:dyDescent="0.25">
      <c r="A193" s="71" t="s">
        <v>626</v>
      </c>
      <c r="B193" s="71" t="s">
        <v>602</v>
      </c>
      <c r="C193" s="72"/>
      <c r="D193" s="1">
        <f>R193+F193+E193</f>
        <v>48</v>
      </c>
      <c r="G193" s="154"/>
      <c r="O193" s="219">
        <f>AA193</f>
        <v>48</v>
      </c>
      <c r="P193" s="154"/>
      <c r="Q193" s="96">
        <f>AC193+I193+J193+K193+L193+M193+N193+O193</f>
        <v>48</v>
      </c>
      <c r="R193" s="97">
        <f>IF(C193=2017, Q193/3,Q193)+P193</f>
        <v>48</v>
      </c>
      <c r="S193" s="209"/>
      <c r="T193" s="209"/>
      <c r="V193" s="50">
        <f>48</f>
        <v>48</v>
      </c>
      <c r="Y193" s="120"/>
      <c r="Z193" s="96">
        <f>SUM(U193:X193)</f>
        <v>48</v>
      </c>
      <c r="AA193" s="97">
        <f>IF(C193=2016, Z193/3,Z193)+Y193</f>
        <v>48</v>
      </c>
      <c r="AB193" s="22"/>
      <c r="AC193" s="237"/>
      <c r="AD193" s="237"/>
      <c r="AE193" s="237"/>
      <c r="AF193" s="237"/>
      <c r="AG193" s="237"/>
      <c r="AH193" s="237"/>
      <c r="AI193" s="240"/>
      <c r="AJ193" s="95"/>
      <c r="AK193" s="96">
        <f>SUM(AC193:AI193)</f>
        <v>0</v>
      </c>
      <c r="AL193" s="97">
        <f>IF(C193=2015, AK193/3,AK193)+AJ193</f>
        <v>0</v>
      </c>
    </row>
    <row r="194" spans="1:38" x14ac:dyDescent="0.25">
      <c r="A194" s="11" t="s">
        <v>308</v>
      </c>
      <c r="B194" s="60" t="s">
        <v>0</v>
      </c>
      <c r="C194" s="62">
        <v>2014</v>
      </c>
      <c r="D194" s="1">
        <f>R194+F194+E194</f>
        <v>172</v>
      </c>
      <c r="G194" s="120"/>
      <c r="I194" s="219"/>
      <c r="J194" s="219"/>
      <c r="K194" s="219"/>
      <c r="L194" s="219"/>
      <c r="M194" s="219"/>
      <c r="N194" s="219"/>
      <c r="O194" s="219">
        <f>AA194</f>
        <v>172</v>
      </c>
      <c r="P194" s="120"/>
      <c r="Q194" s="96">
        <f>AC194+I194+J194+K194+L194+M194+N194+O194</f>
        <v>172</v>
      </c>
      <c r="R194" s="97">
        <f>IF(C194=2017, Q194/3,Q194)+P194</f>
        <v>172</v>
      </c>
      <c r="S194" s="209"/>
      <c r="T194" s="209"/>
      <c r="U194" s="219"/>
      <c r="V194" s="219">
        <f>13</f>
        <v>13</v>
      </c>
      <c r="W194" s="219">
        <f>18</f>
        <v>18</v>
      </c>
      <c r="X194" s="219">
        <f>AL194</f>
        <v>141</v>
      </c>
      <c r="Y194" s="120"/>
      <c r="Z194" s="96">
        <f>SUM(U194:X194)</f>
        <v>172</v>
      </c>
      <c r="AA194" s="97">
        <f>IF(C194=2016, Z194/3,Z194)+Y194</f>
        <v>172</v>
      </c>
      <c r="AB194" s="22"/>
      <c r="AC194" s="219"/>
      <c r="AD194" s="219"/>
      <c r="AE194" s="219"/>
      <c r="AF194" s="219">
        <f>28+7</f>
        <v>35</v>
      </c>
      <c r="AG194" s="219">
        <f>43+30</f>
        <v>73</v>
      </c>
      <c r="AH194" s="219">
        <f>28+2+3</f>
        <v>33</v>
      </c>
      <c r="AJ194" s="95"/>
      <c r="AK194" s="96">
        <f>SUM(AC194:AI194)</f>
        <v>141</v>
      </c>
      <c r="AL194" s="97">
        <f>IF(C194=2015, AK194/3,AK194)+AJ194</f>
        <v>141</v>
      </c>
    </row>
    <row r="195" spans="1:38" x14ac:dyDescent="0.25">
      <c r="A195" s="71" t="s">
        <v>826</v>
      </c>
      <c r="B195" s="71" t="s">
        <v>587</v>
      </c>
      <c r="C195" s="72">
        <v>2013</v>
      </c>
      <c r="D195" s="1">
        <f>R195+F195+E195</f>
        <v>3</v>
      </c>
      <c r="G195" s="154"/>
      <c r="J195" s="205"/>
      <c r="K195" s="205"/>
      <c r="L195" s="205"/>
      <c r="M195" s="205"/>
      <c r="N195" s="205">
        <f>3</f>
        <v>3</v>
      </c>
      <c r="O195" s="219">
        <f>AA195</f>
        <v>0</v>
      </c>
      <c r="P195" s="154"/>
      <c r="Q195" s="96">
        <f>AC195+I195+J195+K195+L195+M195+N195+O195</f>
        <v>3</v>
      </c>
      <c r="R195" s="97">
        <f>IF(C195=2017, Q195/3,Q195)+P195</f>
        <v>3</v>
      </c>
      <c r="S195" s="209"/>
      <c r="T195" s="209"/>
      <c r="Y195" s="120"/>
      <c r="Z195" s="96">
        <f>SUM(U195:X195)</f>
        <v>0</v>
      </c>
      <c r="AA195" s="97">
        <f>IF(C195=2016, Z195/3,Z195)+Y195</f>
        <v>0</v>
      </c>
      <c r="AB195" s="22"/>
      <c r="AC195" s="237"/>
      <c r="AD195" s="237"/>
      <c r="AE195" s="237"/>
      <c r="AF195" s="237"/>
      <c r="AG195" s="237"/>
      <c r="AH195" s="237"/>
      <c r="AI195" s="240"/>
      <c r="AJ195" s="95"/>
      <c r="AK195" s="96"/>
      <c r="AL195" s="97"/>
    </row>
    <row r="196" spans="1:38" x14ac:dyDescent="0.25">
      <c r="A196" s="71" t="s">
        <v>825</v>
      </c>
      <c r="B196" s="71" t="s">
        <v>587</v>
      </c>
      <c r="C196" s="72">
        <v>2013</v>
      </c>
      <c r="D196" s="1">
        <f>R196+F196+E196</f>
        <v>3</v>
      </c>
      <c r="G196" s="154"/>
      <c r="J196" s="205"/>
      <c r="K196" s="205"/>
      <c r="L196" s="205"/>
      <c r="M196" s="205"/>
      <c r="N196" s="205">
        <f>3</f>
        <v>3</v>
      </c>
      <c r="O196" s="219">
        <f>AA196</f>
        <v>0</v>
      </c>
      <c r="P196" s="154"/>
      <c r="Q196" s="96">
        <f>AC196+I196+J196+K196+L196+M196+N196+O196</f>
        <v>3</v>
      </c>
      <c r="R196" s="97">
        <f>IF(C196=2017, Q196/3,Q196)+P196</f>
        <v>3</v>
      </c>
      <c r="S196" s="209"/>
      <c r="T196" s="209"/>
      <c r="Y196" s="120"/>
      <c r="Z196" s="96">
        <f>SUM(U196:X196)</f>
        <v>0</v>
      </c>
      <c r="AA196" s="97">
        <f>IF(C196=2016, Z196/3,Z196)+Y196</f>
        <v>0</v>
      </c>
      <c r="AB196" s="22"/>
      <c r="AC196" s="237"/>
      <c r="AD196" s="237"/>
      <c r="AE196" s="237"/>
      <c r="AF196" s="237"/>
      <c r="AG196" s="237"/>
      <c r="AH196" s="237"/>
      <c r="AI196" s="240"/>
      <c r="AJ196" s="95"/>
      <c r="AK196" s="96"/>
      <c r="AL196" s="97"/>
    </row>
    <row r="197" spans="1:38" x14ac:dyDescent="0.25">
      <c r="A197" s="45" t="s">
        <v>449</v>
      </c>
      <c r="B197" s="66" t="s">
        <v>63</v>
      </c>
      <c r="C197" s="46">
        <v>2017</v>
      </c>
      <c r="D197" s="1">
        <f>R197+F197+E197</f>
        <v>6.666666666666667</v>
      </c>
      <c r="E197" s="108"/>
      <c r="F197" s="108"/>
      <c r="G197" s="122"/>
      <c r="H197" s="108"/>
      <c r="I197" s="108"/>
      <c r="J197" s="108">
        <f>0</f>
        <v>0</v>
      </c>
      <c r="K197" s="108">
        <f>0</f>
        <v>0</v>
      </c>
      <c r="L197" s="108">
        <f>0+3</f>
        <v>3</v>
      </c>
      <c r="M197" s="108">
        <f>9</f>
        <v>9</v>
      </c>
      <c r="N197" s="108">
        <v>3</v>
      </c>
      <c r="O197" s="219">
        <f>AA197</f>
        <v>5</v>
      </c>
      <c r="P197" s="122"/>
      <c r="Q197" s="96">
        <f>AC197+I197+J197+K197+L197+M197+N197+O197</f>
        <v>20</v>
      </c>
      <c r="R197" s="97">
        <f>IF(C197=2017, Q197/3,Q197)+P197</f>
        <v>6.666666666666667</v>
      </c>
      <c r="S197" s="101"/>
      <c r="T197" s="108">
        <f>0</f>
        <v>0</v>
      </c>
      <c r="U197" s="108"/>
      <c r="V197" s="108"/>
      <c r="W197" s="108"/>
      <c r="X197" s="108">
        <f>AL197</f>
        <v>5</v>
      </c>
      <c r="Y197" s="122"/>
      <c r="Z197" s="96">
        <f>SUM(U197:X197)</f>
        <v>5</v>
      </c>
      <c r="AA197" s="97">
        <f>IF(C197=2016, Z197/3,Z197)+Y197</f>
        <v>5</v>
      </c>
      <c r="AB197" s="101"/>
      <c r="AC197" s="41"/>
      <c r="AD197" s="41"/>
      <c r="AE197" s="41"/>
      <c r="AF197" s="41"/>
      <c r="AG197" s="41">
        <f>5</f>
        <v>5</v>
      </c>
      <c r="AH197" s="41"/>
      <c r="AI197" s="13"/>
      <c r="AK197" s="3">
        <f>SUM(AC197:AJ197)</f>
        <v>5</v>
      </c>
      <c r="AL197" s="3">
        <f>AK197</f>
        <v>5</v>
      </c>
    </row>
    <row r="198" spans="1:38" x14ac:dyDescent="0.25">
      <c r="A198" s="11" t="s">
        <v>608</v>
      </c>
      <c r="B198" s="60" t="s">
        <v>479</v>
      </c>
      <c r="C198" s="62"/>
      <c r="D198" s="1">
        <f>R198+F198+E198</f>
        <v>34</v>
      </c>
      <c r="E198" s="237"/>
      <c r="F198" s="237"/>
      <c r="G198" s="154"/>
      <c r="H198" s="237"/>
      <c r="I198" s="237"/>
      <c r="J198" s="237"/>
      <c r="K198" s="237"/>
      <c r="L198" s="237"/>
      <c r="M198" s="237"/>
      <c r="N198" s="237"/>
      <c r="O198" s="219">
        <f>AA198</f>
        <v>34</v>
      </c>
      <c r="P198" s="154"/>
      <c r="Q198" s="96">
        <f>AC198+I198+J198+K198+L198+M198+N198+O198</f>
        <v>34</v>
      </c>
      <c r="R198" s="97">
        <f>IF(C198=2017, Q198/3,Q198)+P198</f>
        <v>34</v>
      </c>
      <c r="S198" s="209"/>
      <c r="T198" s="209"/>
      <c r="V198" s="50">
        <f>34</f>
        <v>34</v>
      </c>
      <c r="Y198" s="120"/>
      <c r="Z198" s="96">
        <f>SUM(U198:X198)</f>
        <v>34</v>
      </c>
      <c r="AA198" s="97">
        <f>IF(C198=2016, Z198/3,Z198)+Y198</f>
        <v>34</v>
      </c>
      <c r="AB198" s="22"/>
      <c r="AC198" s="153"/>
      <c r="AD198" s="153"/>
      <c r="AE198" s="153"/>
      <c r="AF198" s="153"/>
      <c r="AG198" s="153"/>
      <c r="AH198" s="153"/>
      <c r="AI198" s="13"/>
      <c r="AJ198" s="95"/>
      <c r="AK198" s="96">
        <f>SUM(AC198:AI198)</f>
        <v>0</v>
      </c>
      <c r="AL198" s="97">
        <f>IF(C198=2015, AK198/3,AK198)+AJ198</f>
        <v>0</v>
      </c>
    </row>
    <row r="199" spans="1:38" x14ac:dyDescent="0.25">
      <c r="A199" s="11" t="s">
        <v>618</v>
      </c>
      <c r="B199" s="60" t="s">
        <v>479</v>
      </c>
      <c r="C199" s="62"/>
      <c r="D199" s="1">
        <f>R199+F199+E199</f>
        <v>7</v>
      </c>
      <c r="G199" s="154"/>
      <c r="O199" s="219">
        <f>AA199</f>
        <v>7</v>
      </c>
      <c r="P199" s="154"/>
      <c r="Q199" s="96">
        <f>AC199+I199+J199+K199+L199+M199+N199+O199</f>
        <v>7</v>
      </c>
      <c r="R199" s="97">
        <f>IF(C199=2017, Q199/3,Q199)+P199</f>
        <v>7</v>
      </c>
      <c r="S199" s="209"/>
      <c r="T199" s="209"/>
      <c r="V199" s="50">
        <f>6+1</f>
        <v>7</v>
      </c>
      <c r="Y199" s="120"/>
      <c r="Z199" s="96">
        <f>SUM(U199:X199)</f>
        <v>7</v>
      </c>
      <c r="AA199" s="97">
        <f>IF(C199=2016, Z199/3,Z199)+Y199</f>
        <v>7</v>
      </c>
      <c r="AB199" s="22"/>
      <c r="AC199" s="153"/>
      <c r="AD199" s="153"/>
      <c r="AE199" s="153"/>
      <c r="AF199" s="153"/>
      <c r="AG199" s="153"/>
      <c r="AH199" s="153"/>
      <c r="AI199" s="13"/>
      <c r="AJ199" s="95"/>
      <c r="AK199" s="96">
        <f>SUM(AC199:AI199)</f>
        <v>0</v>
      </c>
      <c r="AL199" s="97">
        <f>IF(C199=2015, AK199/3,AK199)+AJ199</f>
        <v>0</v>
      </c>
    </row>
    <row r="200" spans="1:38" x14ac:dyDescent="0.25">
      <c r="A200" s="45" t="s">
        <v>833</v>
      </c>
      <c r="B200" s="66" t="s">
        <v>0</v>
      </c>
      <c r="C200" s="46">
        <v>2017</v>
      </c>
      <c r="D200" s="1">
        <f>R200+F200+E200</f>
        <v>4.333333333333333</v>
      </c>
      <c r="E200" s="108"/>
      <c r="F200" s="108"/>
      <c r="G200" s="122"/>
      <c r="H200" s="108"/>
      <c r="I200" s="108">
        <f>7</f>
        <v>7</v>
      </c>
      <c r="J200" s="108">
        <f>4</f>
        <v>4</v>
      </c>
      <c r="K200" s="108"/>
      <c r="L200" s="108"/>
      <c r="M200" s="108">
        <f>2</f>
        <v>2</v>
      </c>
      <c r="N200" s="108"/>
      <c r="O200" s="219">
        <f>AA200</f>
        <v>0</v>
      </c>
      <c r="P200" s="122"/>
      <c r="Q200" s="96">
        <f>AC200+I200+J200+K200+L200+M200+N200+O200</f>
        <v>13</v>
      </c>
      <c r="R200" s="97">
        <f>IF(C200=2017, Q200/3,Q200)+P200</f>
        <v>4.333333333333333</v>
      </c>
      <c r="S200" s="101"/>
      <c r="T200" s="108"/>
      <c r="U200" s="108"/>
      <c r="V200" s="108"/>
      <c r="W200" s="108"/>
      <c r="X200" s="108"/>
      <c r="Y200" s="122"/>
      <c r="Z200" s="96">
        <f>SUM(U200:X200)</f>
        <v>0</v>
      </c>
      <c r="AA200" s="97">
        <f>IF(C200=2016, Z200/3,Z200)+Y200</f>
        <v>0</v>
      </c>
      <c r="AB200" s="101"/>
      <c r="AC200" s="41"/>
      <c r="AD200" s="41"/>
      <c r="AE200" s="41"/>
      <c r="AF200" s="41"/>
      <c r="AG200" s="41"/>
      <c r="AH200" s="41"/>
      <c r="AI200" s="13"/>
    </row>
    <row r="201" spans="1:38" x14ac:dyDescent="0.25">
      <c r="A201" s="71" t="s">
        <v>258</v>
      </c>
      <c r="B201" s="60" t="s">
        <v>63</v>
      </c>
      <c r="C201" s="72">
        <v>2013</v>
      </c>
      <c r="D201" s="1">
        <f>R201+F201+E201</f>
        <v>101</v>
      </c>
      <c r="E201" s="237"/>
      <c r="F201" s="237"/>
      <c r="G201" s="120"/>
      <c r="H201" s="237"/>
      <c r="I201" s="237">
        <f>0</f>
        <v>0</v>
      </c>
      <c r="J201" s="237"/>
      <c r="K201" s="237">
        <f>0+4</f>
        <v>4</v>
      </c>
      <c r="L201" s="237"/>
      <c r="M201" s="237">
        <f>22+3+6</f>
        <v>31</v>
      </c>
      <c r="N201" s="237">
        <f>26</f>
        <v>26</v>
      </c>
      <c r="O201" s="219">
        <f>AA201</f>
        <v>40</v>
      </c>
      <c r="P201" s="120"/>
      <c r="Q201" s="96">
        <f>AC201+I201+J201+K201+L201+M201+N201+O201</f>
        <v>101</v>
      </c>
      <c r="R201" s="97">
        <f>IF(C201=2017, Q201/3,Q201)+P201</f>
        <v>101</v>
      </c>
      <c r="S201" s="209"/>
      <c r="T201" s="209"/>
      <c r="U201" s="237"/>
      <c r="V201" s="237"/>
      <c r="W201" s="237">
        <f>18</f>
        <v>18</v>
      </c>
      <c r="X201" s="237">
        <f>AL201</f>
        <v>22</v>
      </c>
      <c r="Y201" s="120"/>
      <c r="Z201" s="96">
        <f>SUM(U201:X201)</f>
        <v>40</v>
      </c>
      <c r="AA201" s="97">
        <f>IF(C201=2016, Z201/3,Z201)+Y201</f>
        <v>40</v>
      </c>
      <c r="AB201" s="22"/>
      <c r="AC201" s="237"/>
      <c r="AD201" s="237"/>
      <c r="AE201" s="237">
        <f>22</f>
        <v>22</v>
      </c>
      <c r="AF201" s="237"/>
      <c r="AG201" s="237">
        <f>0</f>
        <v>0</v>
      </c>
      <c r="AH201" s="237"/>
      <c r="AI201" s="240"/>
      <c r="AJ201" s="95"/>
      <c r="AK201" s="96">
        <f>SUM(AC201:AI201)</f>
        <v>22</v>
      </c>
      <c r="AL201" s="97">
        <f>IF(C201=2015, AK201/3,AK201)+AJ201</f>
        <v>22</v>
      </c>
    </row>
    <row r="202" spans="1:38" x14ac:dyDescent="0.25">
      <c r="A202" s="71" t="s">
        <v>896</v>
      </c>
      <c r="B202" s="71" t="s">
        <v>406</v>
      </c>
      <c r="C202" s="72">
        <v>2014</v>
      </c>
      <c r="D202" s="1">
        <f>R202+F202+E202</f>
        <v>38</v>
      </c>
      <c r="G202" s="154"/>
      <c r="I202" s="219">
        <f>5</f>
        <v>5</v>
      </c>
      <c r="J202" s="219"/>
      <c r="K202" s="219"/>
      <c r="L202" s="219">
        <f>23+10</f>
        <v>33</v>
      </c>
      <c r="M202" s="219"/>
      <c r="N202" s="219"/>
      <c r="O202" s="219">
        <f>AA202</f>
        <v>0</v>
      </c>
      <c r="P202" s="154"/>
      <c r="Q202" s="96">
        <f>AC202+I202+J202+K202+L202+M202+N202+O202</f>
        <v>38</v>
      </c>
      <c r="R202" s="97">
        <f>IF(C202=2017, Q202/3,Q202)+P202</f>
        <v>38</v>
      </c>
      <c r="U202" s="219"/>
      <c r="V202" s="219"/>
      <c r="W202" s="219"/>
      <c r="X202" s="219"/>
      <c r="Y202" s="120"/>
      <c r="Z202" s="96">
        <f>SUM(U202:X202)</f>
        <v>0</v>
      </c>
      <c r="AA202" s="97">
        <f>IF(C202=2016, Z202/3,Z202)+Y202</f>
        <v>0</v>
      </c>
      <c r="AB202" s="22"/>
      <c r="AC202" s="219"/>
      <c r="AD202" s="219"/>
      <c r="AE202" s="219"/>
      <c r="AF202" s="219"/>
      <c r="AG202" s="219"/>
      <c r="AH202" s="219"/>
      <c r="AJ202" s="95"/>
      <c r="AK202" s="96"/>
      <c r="AL202" s="97"/>
    </row>
    <row r="203" spans="1:38" x14ac:dyDescent="0.25">
      <c r="A203" s="71" t="s">
        <v>840</v>
      </c>
      <c r="B203" s="71" t="s">
        <v>802</v>
      </c>
      <c r="C203" s="72">
        <v>2013</v>
      </c>
      <c r="D203" s="1">
        <f>R203+F203+E203</f>
        <v>0</v>
      </c>
      <c r="G203" s="154"/>
      <c r="J203" s="205"/>
      <c r="K203" s="205"/>
      <c r="L203" s="205"/>
      <c r="M203" s="205">
        <f>0</f>
        <v>0</v>
      </c>
      <c r="N203" s="205"/>
      <c r="O203" s="219">
        <f>AA203</f>
        <v>0</v>
      </c>
      <c r="P203" s="154"/>
      <c r="Q203" s="96">
        <f>AC203+I203+J203+K203+L203+M203+N203+O203</f>
        <v>0</v>
      </c>
      <c r="R203" s="97">
        <f>IF(C203=2017, Q203/3,Q203)+P203</f>
        <v>0</v>
      </c>
      <c r="U203" s="170"/>
      <c r="V203" s="170"/>
      <c r="W203" s="170"/>
      <c r="X203" s="170"/>
      <c r="Y203" s="120"/>
      <c r="Z203" s="96">
        <f>SUM(U203:X203)</f>
        <v>0</v>
      </c>
      <c r="AA203" s="97">
        <f>IF(C203=2016, Z203/3,Z203)+Y203</f>
        <v>0</v>
      </c>
      <c r="AB203" s="22"/>
      <c r="AC203" s="205"/>
      <c r="AD203" s="205"/>
      <c r="AE203" s="205"/>
      <c r="AF203" s="205"/>
      <c r="AG203" s="205"/>
      <c r="AH203" s="205"/>
      <c r="AJ203" s="95"/>
      <c r="AK203" s="96"/>
      <c r="AL203" s="97"/>
    </row>
    <row r="204" spans="1:38" x14ac:dyDescent="0.25">
      <c r="A204" s="71" t="s">
        <v>838</v>
      </c>
      <c r="B204" s="71" t="s">
        <v>63</v>
      </c>
      <c r="C204" s="72">
        <v>2013</v>
      </c>
      <c r="D204" s="1">
        <f>R204+F204+E204</f>
        <v>13</v>
      </c>
      <c r="G204" s="154"/>
      <c r="I204" s="219"/>
      <c r="J204" s="219"/>
      <c r="K204" s="219"/>
      <c r="L204" s="219">
        <f>0</f>
        <v>0</v>
      </c>
      <c r="M204" s="219">
        <f>13</f>
        <v>13</v>
      </c>
      <c r="N204" s="219"/>
      <c r="O204" s="219">
        <f>AA204</f>
        <v>0</v>
      </c>
      <c r="P204" s="154"/>
      <c r="Q204" s="96">
        <f>AC204+I204+J204+K204+L204+M204+N204+O204</f>
        <v>13</v>
      </c>
      <c r="R204" s="97">
        <f>IF(C204=2017, Q204/3,Q204)+P204</f>
        <v>13</v>
      </c>
      <c r="U204" s="219"/>
      <c r="V204" s="219"/>
      <c r="W204" s="219"/>
      <c r="X204" s="219"/>
      <c r="Y204" s="120"/>
      <c r="Z204" s="96">
        <f>SUM(U204:X204)</f>
        <v>0</v>
      </c>
      <c r="AA204" s="97">
        <f>IF(C204=2016, Z204/3,Z204)+Y204</f>
        <v>0</v>
      </c>
      <c r="AB204" s="22"/>
      <c r="AC204" s="219"/>
      <c r="AD204" s="219"/>
      <c r="AE204" s="219"/>
      <c r="AF204" s="219"/>
      <c r="AG204" s="219"/>
      <c r="AH204" s="219"/>
      <c r="AJ204" s="95"/>
      <c r="AK204" s="96"/>
      <c r="AL204" s="97"/>
    </row>
    <row r="205" spans="1:38" x14ac:dyDescent="0.25">
      <c r="A205" s="45" t="s">
        <v>78</v>
      </c>
      <c r="B205" s="66" t="s">
        <v>63</v>
      </c>
      <c r="C205" s="46">
        <v>2015</v>
      </c>
      <c r="D205" s="1">
        <f>R205+F205+E205</f>
        <v>4</v>
      </c>
      <c r="G205" s="120"/>
      <c r="O205" s="219">
        <f>AA205</f>
        <v>4</v>
      </c>
      <c r="P205" s="120"/>
      <c r="Q205" s="96">
        <f>AC205+I205+J205+K205+L205+M205+N205+O205</f>
        <v>4</v>
      </c>
      <c r="R205" s="97">
        <f>IF(C205=2017, Q205/3,Q205)+P205</f>
        <v>4</v>
      </c>
      <c r="S205" s="209"/>
      <c r="T205" s="209"/>
      <c r="X205" s="50">
        <f>AL205</f>
        <v>4</v>
      </c>
      <c r="Y205" s="120"/>
      <c r="Z205" s="96">
        <f>SUM(U205:X205)</f>
        <v>4</v>
      </c>
      <c r="AA205" s="97">
        <f>IF(C205=2016, Z205/3,Z205)+Y205</f>
        <v>4</v>
      </c>
      <c r="AB205" s="101"/>
      <c r="AC205" s="41"/>
      <c r="AD205" s="41">
        <v>12</v>
      </c>
      <c r="AE205" s="41">
        <f>0</f>
        <v>0</v>
      </c>
      <c r="AF205" s="41">
        <f>0</f>
        <v>0</v>
      </c>
      <c r="AG205" s="41"/>
      <c r="AH205" s="41"/>
      <c r="AI205" s="236"/>
      <c r="AJ205" s="95"/>
      <c r="AK205" s="96">
        <f>SUM(AC205:AI205)</f>
        <v>12</v>
      </c>
      <c r="AL205" s="97">
        <f>IF(C205=2015, AK205/3,AK205)+AJ205</f>
        <v>4</v>
      </c>
    </row>
    <row r="206" spans="1:38" x14ac:dyDescent="0.25">
      <c r="A206" s="45" t="s">
        <v>80</v>
      </c>
      <c r="B206" s="66" t="s">
        <v>63</v>
      </c>
      <c r="C206" s="46">
        <v>2015</v>
      </c>
      <c r="D206" s="1">
        <f>R206+F206+E206</f>
        <v>17</v>
      </c>
      <c r="G206" s="120"/>
      <c r="M206" s="170"/>
      <c r="N206" s="170"/>
      <c r="O206" s="219">
        <f>AA206</f>
        <v>17</v>
      </c>
      <c r="P206" s="120"/>
      <c r="Q206" s="96">
        <f>AC206+I206+J206+K206+L206+M206+N206+O206</f>
        <v>17</v>
      </c>
      <c r="R206" s="97">
        <f>IF(C206=2017, Q206/3,Q206)+P206</f>
        <v>17</v>
      </c>
      <c r="S206" s="209"/>
      <c r="T206" s="209"/>
      <c r="U206" s="170"/>
      <c r="V206" s="170"/>
      <c r="W206" s="170"/>
      <c r="X206" s="170">
        <f>AL206</f>
        <v>17</v>
      </c>
      <c r="Y206" s="120"/>
      <c r="Z206" s="96">
        <f>SUM(U206:X206)</f>
        <v>17</v>
      </c>
      <c r="AA206" s="97">
        <f>IF(C206=2016, Z206/3,Z206)+Y206</f>
        <v>17</v>
      </c>
      <c r="AB206" s="101"/>
      <c r="AC206" s="41"/>
      <c r="AD206" s="41">
        <v>33</v>
      </c>
      <c r="AE206" s="41"/>
      <c r="AF206" s="41">
        <f>18</f>
        <v>18</v>
      </c>
      <c r="AG206" s="41"/>
      <c r="AH206" s="41"/>
      <c r="AI206" s="236"/>
      <c r="AJ206" s="95"/>
      <c r="AK206" s="96">
        <f>SUM(AC206:AI206)</f>
        <v>51</v>
      </c>
      <c r="AL206" s="97">
        <f>IF(C206=2015, AK206/3,AK206)+AJ206</f>
        <v>17</v>
      </c>
    </row>
    <row r="207" spans="1:38" x14ac:dyDescent="0.25">
      <c r="A207" s="45" t="s">
        <v>71</v>
      </c>
      <c r="B207" s="66" t="s">
        <v>63</v>
      </c>
      <c r="C207" s="46">
        <v>2016</v>
      </c>
      <c r="D207" s="1">
        <f>R207+F207+E207</f>
        <v>4</v>
      </c>
      <c r="E207" s="156"/>
      <c r="F207" s="156"/>
      <c r="G207" s="122"/>
      <c r="H207" s="156"/>
      <c r="I207" s="156"/>
      <c r="J207" s="156"/>
      <c r="K207" s="156"/>
      <c r="L207" s="156"/>
      <c r="M207" s="156"/>
      <c r="N207" s="156"/>
      <c r="O207" s="219">
        <f>AA207</f>
        <v>4</v>
      </c>
      <c r="P207" s="122"/>
      <c r="Q207" s="96">
        <f>AC207+I207+J207+K207+L207+M207+N207+O207</f>
        <v>4</v>
      </c>
      <c r="R207" s="97">
        <f>IF(C207=2017, Q207/3,Q207)+P207</f>
        <v>4</v>
      </c>
      <c r="S207" s="209"/>
      <c r="T207" s="209"/>
      <c r="U207" s="108"/>
      <c r="V207" s="108"/>
      <c r="W207" s="108"/>
      <c r="X207" s="108">
        <f>AL207</f>
        <v>12</v>
      </c>
      <c r="Y207" s="122"/>
      <c r="Z207" s="96">
        <f>SUM(U207:X207)</f>
        <v>12</v>
      </c>
      <c r="AA207" s="97">
        <f>IF(C207=2016, Z207/3,Z207)+Y207</f>
        <v>4</v>
      </c>
      <c r="AB207" s="101"/>
      <c r="AC207" s="41"/>
      <c r="AD207" s="41">
        <v>12</v>
      </c>
      <c r="AE207" s="41">
        <f>0</f>
        <v>0</v>
      </c>
      <c r="AF207" s="41">
        <f>0</f>
        <v>0</v>
      </c>
      <c r="AG207" s="41"/>
      <c r="AH207" s="41"/>
      <c r="AI207" s="236"/>
      <c r="AK207" s="96">
        <f>SUM(AC207:AI207)</f>
        <v>12</v>
      </c>
      <c r="AL207" s="97">
        <f>IF(C207=2015, AK207/3,AK207)+AJ207</f>
        <v>12</v>
      </c>
    </row>
    <row r="208" spans="1:38" x14ac:dyDescent="0.25">
      <c r="A208" s="71" t="s">
        <v>893</v>
      </c>
      <c r="B208" s="71" t="s">
        <v>6</v>
      </c>
      <c r="C208" s="72">
        <v>2014</v>
      </c>
      <c r="D208" s="1">
        <f>R208+F208+E208</f>
        <v>58</v>
      </c>
      <c r="E208" s="237">
        <f>35</f>
        <v>35</v>
      </c>
      <c r="F208" s="237"/>
      <c r="G208" s="154"/>
      <c r="H208" s="237"/>
      <c r="I208" s="237"/>
      <c r="J208" s="237"/>
      <c r="K208" s="237"/>
      <c r="L208" s="237">
        <f>23</f>
        <v>23</v>
      </c>
      <c r="M208" s="237"/>
      <c r="N208" s="237"/>
      <c r="O208" s="219">
        <f>AA208</f>
        <v>0</v>
      </c>
      <c r="P208" s="154"/>
      <c r="Q208" s="96">
        <f>AC208+I208+J208+K208+L208+M208+N208+O208</f>
        <v>23</v>
      </c>
      <c r="R208" s="97">
        <f>IF(C208=2017, Q208/3,Q208)+P208</f>
        <v>23</v>
      </c>
      <c r="U208" s="237"/>
      <c r="V208" s="237"/>
      <c r="W208" s="237"/>
      <c r="X208" s="237"/>
      <c r="Y208" s="120"/>
      <c r="Z208" s="96">
        <f>SUM(U208:X208)</f>
        <v>0</v>
      </c>
      <c r="AA208" s="97">
        <f>IF(C208=2016, Z208/3,Z208)+Y208</f>
        <v>0</v>
      </c>
      <c r="AB208" s="22"/>
      <c r="AC208" s="237"/>
      <c r="AD208" s="237"/>
      <c r="AE208" s="237"/>
      <c r="AF208" s="237"/>
      <c r="AG208" s="237"/>
      <c r="AH208" s="237"/>
      <c r="AI208" s="240"/>
      <c r="AJ208" s="95"/>
      <c r="AK208" s="96"/>
      <c r="AL208" s="97"/>
    </row>
    <row r="209" spans="1:57" x14ac:dyDescent="0.25">
      <c r="A209" s="71" t="s">
        <v>898</v>
      </c>
      <c r="B209" s="71" t="s">
        <v>0</v>
      </c>
      <c r="C209" s="72">
        <v>2016</v>
      </c>
      <c r="D209" s="1">
        <f>R209+F209+E209</f>
        <v>179</v>
      </c>
      <c r="E209" s="233">
        <f>28+14</f>
        <v>42</v>
      </c>
      <c r="G209" s="154"/>
      <c r="I209" s="205">
        <f>38+10</f>
        <v>48</v>
      </c>
      <c r="J209" s="196">
        <f>22+3</f>
        <v>25</v>
      </c>
      <c r="K209" s="186">
        <f>18+7</f>
        <v>25</v>
      </c>
      <c r="L209" s="170">
        <f>23+16</f>
        <v>39</v>
      </c>
      <c r="M209" s="166"/>
      <c r="N209" s="166"/>
      <c r="O209" s="219">
        <f>AA209</f>
        <v>0</v>
      </c>
      <c r="P209" s="154"/>
      <c r="Q209" s="96">
        <f>AC209+I209+J209+K209+L209+M209+N209+O209</f>
        <v>137</v>
      </c>
      <c r="R209" s="97">
        <f>IF(C209=2017, Q209/3,Q209)+P209</f>
        <v>137</v>
      </c>
      <c r="U209" s="166"/>
      <c r="V209" s="166"/>
      <c r="W209" s="166"/>
      <c r="X209" s="166"/>
      <c r="Y209" s="120"/>
      <c r="Z209" s="96">
        <f>SUM(U209:X209)</f>
        <v>0</v>
      </c>
      <c r="AA209" s="97">
        <f>IF(C209=2016, Z209/3,Z209)+Y209</f>
        <v>0</v>
      </c>
      <c r="AB209" s="22"/>
      <c r="AC209" s="219"/>
      <c r="AD209" s="219"/>
      <c r="AE209" s="219"/>
      <c r="AF209" s="219"/>
      <c r="AG209" s="219"/>
      <c r="AH209" s="219"/>
      <c r="AJ209" s="95"/>
      <c r="AK209" s="96"/>
      <c r="AL209" s="97"/>
    </row>
    <row r="210" spans="1:57" s="17" customFormat="1" x14ac:dyDescent="0.25">
      <c r="A210" s="11" t="s">
        <v>738</v>
      </c>
      <c r="B210" s="60" t="s">
        <v>63</v>
      </c>
      <c r="C210" s="62">
        <v>2014</v>
      </c>
      <c r="D210" s="1">
        <f>R210+F210+E210</f>
        <v>96</v>
      </c>
      <c r="E210" s="233"/>
      <c r="F210" s="219"/>
      <c r="G210" s="154"/>
      <c r="H210" s="219"/>
      <c r="I210" s="205"/>
      <c r="J210" s="196"/>
      <c r="K210" s="186"/>
      <c r="L210" s="170">
        <f>43+10</f>
        <v>53</v>
      </c>
      <c r="M210" s="166">
        <f>37+6</f>
        <v>43</v>
      </c>
      <c r="N210" s="166">
        <f>0</f>
        <v>0</v>
      </c>
      <c r="O210" s="219">
        <f>AA210</f>
        <v>0</v>
      </c>
      <c r="P210" s="154"/>
      <c r="Q210" s="96">
        <f>AC210+I210+J210+K210+L210+M210+N210+O210</f>
        <v>96</v>
      </c>
      <c r="R210" s="97">
        <f>IF(C210=2017, Q210/3,Q210)+P210</f>
        <v>96</v>
      </c>
      <c r="S210" s="209"/>
      <c r="T210" s="209"/>
      <c r="U210" s="166"/>
      <c r="V210" s="166"/>
      <c r="W210" s="166"/>
      <c r="X210" s="166"/>
      <c r="Y210" s="120"/>
      <c r="Z210" s="96">
        <f>SUM(U210:X210)</f>
        <v>0</v>
      </c>
      <c r="AA210" s="97">
        <f>IF(C210=2016, Z210/3,Z210)+Y210</f>
        <v>0</v>
      </c>
      <c r="AB210" s="22"/>
      <c r="AC210" s="153"/>
      <c r="AD210" s="153"/>
      <c r="AE210" s="153"/>
      <c r="AF210" s="153"/>
      <c r="AG210" s="153"/>
      <c r="AH210" s="153"/>
      <c r="AI210" s="13"/>
      <c r="AJ210" s="95"/>
      <c r="AK210" s="96">
        <f>SUM(AC210:AI210)</f>
        <v>0</v>
      </c>
      <c r="AL210" s="97">
        <f>IF(C210=2015, AK210/3,AK210)+AJ210</f>
        <v>0</v>
      </c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</row>
    <row r="211" spans="1:57" x14ac:dyDescent="0.25">
      <c r="A211" s="11" t="s">
        <v>616</v>
      </c>
      <c r="B211" s="60" t="s">
        <v>232</v>
      </c>
      <c r="C211" s="62"/>
      <c r="D211" s="1">
        <f>R211+F211+E211</f>
        <v>13</v>
      </c>
      <c r="E211" s="237"/>
      <c r="F211" s="237"/>
      <c r="G211" s="154"/>
      <c r="H211" s="237"/>
      <c r="I211" s="237"/>
      <c r="J211" s="237"/>
      <c r="K211" s="237"/>
      <c r="L211" s="237"/>
      <c r="M211" s="237"/>
      <c r="N211" s="237"/>
      <c r="O211" s="219">
        <f>AA211</f>
        <v>13</v>
      </c>
      <c r="P211" s="154"/>
      <c r="Q211" s="96">
        <f>AC211+I211+J211+K211+L211+M211+N211+O211</f>
        <v>13</v>
      </c>
      <c r="R211" s="97">
        <f>IF(C211=2017, Q211/3,Q211)+P211</f>
        <v>13</v>
      </c>
      <c r="S211" s="209"/>
      <c r="T211" s="209"/>
      <c r="U211" s="237"/>
      <c r="V211" s="237">
        <f>13</f>
        <v>13</v>
      </c>
      <c r="W211" s="237"/>
      <c r="X211" s="237"/>
      <c r="Y211" s="120"/>
      <c r="Z211" s="96">
        <f>SUM(U211:X211)</f>
        <v>13</v>
      </c>
      <c r="AA211" s="97">
        <f>IF(C211=2016, Z211/3,Z211)+Y211</f>
        <v>13</v>
      </c>
      <c r="AB211" s="22"/>
      <c r="AC211" s="153"/>
      <c r="AD211" s="153"/>
      <c r="AE211" s="153"/>
      <c r="AF211" s="153"/>
      <c r="AG211" s="153"/>
      <c r="AH211" s="153"/>
      <c r="AI211" s="13"/>
      <c r="AJ211" s="95"/>
      <c r="AK211" s="96">
        <f>SUM(AC211:AI211)</f>
        <v>0</v>
      </c>
      <c r="AL211" s="97">
        <f>IF(C211=2015, AK211/3,AK211)+AJ211</f>
        <v>0</v>
      </c>
    </row>
    <row r="212" spans="1:57" x14ac:dyDescent="0.25">
      <c r="A212" s="11" t="s">
        <v>565</v>
      </c>
      <c r="B212" s="60" t="s">
        <v>7</v>
      </c>
      <c r="C212" s="62">
        <v>2015</v>
      </c>
      <c r="D212" s="1">
        <f>R212+F212+E212</f>
        <v>85</v>
      </c>
      <c r="G212" s="154"/>
      <c r="M212" s="50">
        <f>50</f>
        <v>50</v>
      </c>
      <c r="O212" s="219">
        <f>AA212</f>
        <v>35</v>
      </c>
      <c r="P212" s="154"/>
      <c r="Q212" s="96">
        <f>AC212+I212+J212+K212+L212+M212+N212+O212</f>
        <v>85</v>
      </c>
      <c r="R212" s="97">
        <f>IF(C212=2017, Q212/3,Q212)+P212</f>
        <v>85</v>
      </c>
      <c r="S212" s="238"/>
      <c r="T212" s="238"/>
      <c r="U212" s="50">
        <f>22</f>
        <v>22</v>
      </c>
      <c r="V212" s="50">
        <f>13</f>
        <v>13</v>
      </c>
      <c r="W212" s="50">
        <f>0</f>
        <v>0</v>
      </c>
      <c r="Y212" s="120"/>
      <c r="Z212" s="96">
        <f>SUM(U212:X212)</f>
        <v>35</v>
      </c>
      <c r="AA212" s="97">
        <f>IF(C212=2016, Z212/3,Z212)+Y212</f>
        <v>35</v>
      </c>
      <c r="AB212" s="22"/>
      <c r="AC212" s="153"/>
      <c r="AD212" s="153"/>
      <c r="AE212" s="153"/>
      <c r="AF212" s="153"/>
      <c r="AG212" s="153"/>
      <c r="AH212" s="153"/>
      <c r="AI212" s="13"/>
      <c r="AJ212" s="95"/>
      <c r="AK212" s="96">
        <f>SUM(AC212:AI212)</f>
        <v>0</v>
      </c>
      <c r="AL212" s="97">
        <f>IF(C212=2015, AK212/3,AK212)+AJ212</f>
        <v>0</v>
      </c>
    </row>
    <row r="213" spans="1:57" x14ac:dyDescent="0.25">
      <c r="A213" s="71" t="s">
        <v>728</v>
      </c>
      <c r="B213" s="71" t="s">
        <v>63</v>
      </c>
      <c r="C213" s="72">
        <v>2013</v>
      </c>
      <c r="D213" s="1">
        <f>R213+F213+E213</f>
        <v>20</v>
      </c>
      <c r="E213" s="237"/>
      <c r="F213" s="237"/>
      <c r="G213" s="154"/>
      <c r="H213" s="237"/>
      <c r="I213" s="237">
        <f>0</f>
        <v>0</v>
      </c>
      <c r="J213" s="237">
        <f>0</f>
        <v>0</v>
      </c>
      <c r="K213" s="237">
        <f>0+1</f>
        <v>1</v>
      </c>
      <c r="L213" s="237">
        <f>0</f>
        <v>0</v>
      </c>
      <c r="M213" s="237">
        <f>18+1</f>
        <v>19</v>
      </c>
      <c r="N213" s="237">
        <f>0</f>
        <v>0</v>
      </c>
      <c r="O213" s="219">
        <f>AA213</f>
        <v>0</v>
      </c>
      <c r="P213" s="154"/>
      <c r="Q213" s="96">
        <f>AC213+I213+J213+K213+L213+M213+N213+O213</f>
        <v>20</v>
      </c>
      <c r="R213" s="97">
        <f>IF(C213=2017, Q213/3,Q213)+P213</f>
        <v>20</v>
      </c>
      <c r="S213" s="238"/>
      <c r="T213" s="238"/>
      <c r="U213" s="237"/>
      <c r="V213" s="237"/>
      <c r="W213" s="237"/>
      <c r="X213" s="237"/>
      <c r="Y213" s="120"/>
      <c r="Z213" s="96">
        <f>SUM(U213:X213)</f>
        <v>0</v>
      </c>
      <c r="AA213" s="97">
        <f>IF(C213=2016, Z213/3,Z213)+Y213</f>
        <v>0</v>
      </c>
      <c r="AB213" s="22"/>
      <c r="AC213" s="237"/>
      <c r="AD213" s="237"/>
      <c r="AE213" s="237"/>
      <c r="AF213" s="237"/>
      <c r="AG213" s="237"/>
      <c r="AH213" s="237"/>
      <c r="AI213" s="240"/>
      <c r="AJ213" s="95"/>
      <c r="AK213" s="96">
        <f>SUM(AC213:AI213)</f>
        <v>0</v>
      </c>
      <c r="AL213" s="97">
        <f>IF(C213=2015, AK213/3,AK213)+AJ213</f>
        <v>0</v>
      </c>
    </row>
    <row r="214" spans="1:57" x14ac:dyDescent="0.25">
      <c r="A214" s="11" t="s">
        <v>125</v>
      </c>
      <c r="B214" s="60" t="s">
        <v>86</v>
      </c>
      <c r="C214" s="62">
        <v>2014</v>
      </c>
      <c r="D214" s="1">
        <f>R214+F214+E214</f>
        <v>185</v>
      </c>
      <c r="E214" s="233">
        <f>66</f>
        <v>66</v>
      </c>
      <c r="G214" s="120"/>
      <c r="I214" s="219">
        <f>96</f>
        <v>96</v>
      </c>
      <c r="J214" s="219"/>
      <c r="K214" s="219"/>
      <c r="L214" s="219"/>
      <c r="M214" s="219"/>
      <c r="N214" s="219"/>
      <c r="O214" s="219">
        <f>AA214</f>
        <v>23</v>
      </c>
      <c r="P214" s="120"/>
      <c r="Q214" s="96">
        <f>AC214+I214+J214+K214+L214+M214+N214+O214</f>
        <v>119</v>
      </c>
      <c r="R214" s="97">
        <f>IF(C214=2017, Q214/3,Q214)+P214</f>
        <v>119</v>
      </c>
      <c r="S214" s="222"/>
      <c r="T214" s="222"/>
      <c r="X214" s="50">
        <f>AL214</f>
        <v>23</v>
      </c>
      <c r="Y214" s="120"/>
      <c r="Z214" s="96">
        <f>SUM(U214:X214)</f>
        <v>23</v>
      </c>
      <c r="AA214" s="97">
        <f>IF(C214=2016, Z214/3,Z214)+Y214</f>
        <v>23</v>
      </c>
      <c r="AB214" s="22"/>
      <c r="AC214" s="41"/>
      <c r="AD214" s="41">
        <f>20+3</f>
        <v>23</v>
      </c>
      <c r="AE214" s="41"/>
      <c r="AF214" s="41"/>
      <c r="AG214" s="41"/>
      <c r="AH214" s="41"/>
      <c r="AI214" s="13"/>
      <c r="AJ214" s="95"/>
      <c r="AK214" s="96">
        <f>SUM(AC214:AI214)</f>
        <v>23</v>
      </c>
      <c r="AL214" s="97">
        <f>IF(C214=2015, AK214/3,AK214)+AJ214</f>
        <v>23</v>
      </c>
    </row>
    <row r="215" spans="1:57" x14ac:dyDescent="0.25">
      <c r="A215" s="71" t="s">
        <v>904</v>
      </c>
      <c r="B215" s="71" t="s">
        <v>0</v>
      </c>
      <c r="C215" s="72">
        <v>2016</v>
      </c>
      <c r="D215" s="1">
        <f>R215+F215+E215</f>
        <v>0</v>
      </c>
      <c r="E215" s="237"/>
      <c r="F215" s="237"/>
      <c r="G215" s="154"/>
      <c r="H215" s="237"/>
      <c r="I215" s="237"/>
      <c r="J215" s="237"/>
      <c r="K215" s="237"/>
      <c r="L215" s="237">
        <f>0</f>
        <v>0</v>
      </c>
      <c r="M215" s="237"/>
      <c r="N215" s="237"/>
      <c r="O215" s="219">
        <f>AA215</f>
        <v>0</v>
      </c>
      <c r="P215" s="154"/>
      <c r="Q215" s="96">
        <f>AC215+I215+J215+K215+L215+M215+N215+O215</f>
        <v>0</v>
      </c>
      <c r="R215" s="97">
        <f>IF(C215=2017, Q215/3,Q215)+P215</f>
        <v>0</v>
      </c>
      <c r="U215" s="237"/>
      <c r="V215" s="237"/>
      <c r="W215" s="237"/>
      <c r="X215" s="237"/>
      <c r="Y215" s="120"/>
      <c r="Z215" s="96">
        <f>SUM(U215:X215)</f>
        <v>0</v>
      </c>
      <c r="AA215" s="97">
        <f>IF(C215=2016, Z215/3,Z215)+Y215</f>
        <v>0</v>
      </c>
      <c r="AB215" s="22"/>
      <c r="AC215" s="237"/>
      <c r="AD215" s="237"/>
      <c r="AE215" s="237"/>
      <c r="AF215" s="237"/>
      <c r="AG215" s="237"/>
      <c r="AH215" s="237"/>
      <c r="AI215" s="240"/>
      <c r="AJ215" s="95"/>
      <c r="AK215" s="96"/>
      <c r="AL215" s="97"/>
    </row>
    <row r="216" spans="1:57" x14ac:dyDescent="0.25">
      <c r="A216" s="11" t="s">
        <v>623</v>
      </c>
      <c r="B216" s="60" t="s">
        <v>602</v>
      </c>
      <c r="C216" s="62"/>
      <c r="D216" s="1">
        <f>R216+F216+E216</f>
        <v>48</v>
      </c>
      <c r="G216" s="154"/>
      <c r="I216" s="219"/>
      <c r="J216" s="219"/>
      <c r="K216" s="219"/>
      <c r="L216" s="219"/>
      <c r="M216" s="219"/>
      <c r="N216" s="219"/>
      <c r="O216" s="219">
        <f>AA216</f>
        <v>48</v>
      </c>
      <c r="P216" s="154"/>
      <c r="Q216" s="96">
        <f>AC216+I216+J216+K216+L216+M216+N216+O216</f>
        <v>48</v>
      </c>
      <c r="R216" s="97">
        <f>IF(C216=2017, Q216/3,Q216)+P216</f>
        <v>48</v>
      </c>
      <c r="S216" s="222"/>
      <c r="T216" s="222"/>
      <c r="U216" s="166"/>
      <c r="V216" s="166">
        <f>48</f>
        <v>48</v>
      </c>
      <c r="W216" s="166"/>
      <c r="X216" s="166"/>
      <c r="Y216" s="120"/>
      <c r="Z216" s="96">
        <f>SUM(U216:X216)</f>
        <v>48</v>
      </c>
      <c r="AA216" s="97">
        <f>IF(C216=2016, Z216/3,Z216)+Y216</f>
        <v>48</v>
      </c>
      <c r="AB216" s="22"/>
      <c r="AC216" s="153"/>
      <c r="AD216" s="153"/>
      <c r="AE216" s="153"/>
      <c r="AF216" s="153"/>
      <c r="AG216" s="153"/>
      <c r="AH216" s="153"/>
      <c r="AI216" s="13"/>
      <c r="AJ216" s="95"/>
      <c r="AK216" s="96">
        <f>SUM(AC216:AI216)</f>
        <v>0</v>
      </c>
      <c r="AL216" s="97">
        <f>IF(C216=2015, AK216/3,AK216)+AJ216</f>
        <v>0</v>
      </c>
    </row>
    <row r="217" spans="1:57" x14ac:dyDescent="0.25">
      <c r="A217" s="45" t="s">
        <v>465</v>
      </c>
      <c r="B217" s="66" t="s">
        <v>0</v>
      </c>
      <c r="C217" s="46">
        <v>2015</v>
      </c>
      <c r="D217" s="1">
        <f>R217+F217+E217</f>
        <v>2.3333333333333335</v>
      </c>
      <c r="G217" s="120"/>
      <c r="I217" s="219"/>
      <c r="J217" s="219"/>
      <c r="K217" s="219"/>
      <c r="L217" s="219"/>
      <c r="M217" s="219"/>
      <c r="N217" s="219"/>
      <c r="O217" s="219">
        <f>AA217</f>
        <v>2.3333333333333335</v>
      </c>
      <c r="P217" s="120"/>
      <c r="Q217" s="96">
        <f>AC217+I217+J217+K217+L217+M217+N217+O217</f>
        <v>2.3333333333333335</v>
      </c>
      <c r="R217" s="97">
        <f>IF(C217=2017, Q217/3,Q217)+P217</f>
        <v>2.3333333333333335</v>
      </c>
      <c r="S217" s="238"/>
      <c r="T217" s="238"/>
      <c r="U217" s="205"/>
      <c r="V217" s="205"/>
      <c r="W217" s="205"/>
      <c r="X217" s="205">
        <f>AL217</f>
        <v>2.3333333333333335</v>
      </c>
      <c r="Y217" s="120"/>
      <c r="Z217" s="96">
        <f>SUM(U217:X217)</f>
        <v>2.3333333333333335</v>
      </c>
      <c r="AA217" s="97">
        <f>IF(C217=2016, Z217/3,Z217)+Y217</f>
        <v>2.3333333333333335</v>
      </c>
      <c r="AB217" s="101"/>
      <c r="AC217" s="41"/>
      <c r="AD217" s="41"/>
      <c r="AE217" s="41"/>
      <c r="AF217" s="41"/>
      <c r="AG217" s="41"/>
      <c r="AH217" s="41">
        <f>7</f>
        <v>7</v>
      </c>
      <c r="AI217" s="13"/>
      <c r="AJ217" s="95"/>
      <c r="AK217" s="96">
        <f>SUM(AC217:AI217)</f>
        <v>7</v>
      </c>
      <c r="AL217" s="97">
        <f>IF(C217=2015, AK217/3,AK217)+AJ217</f>
        <v>2.3333333333333335</v>
      </c>
    </row>
    <row r="218" spans="1:57" x14ac:dyDescent="0.25">
      <c r="A218" s="45" t="s">
        <v>620</v>
      </c>
      <c r="B218" s="66" t="s">
        <v>232</v>
      </c>
      <c r="C218" s="46"/>
      <c r="D218" s="1">
        <f>R218+F218+E218</f>
        <v>2</v>
      </c>
      <c r="E218" s="156"/>
      <c r="F218" s="156"/>
      <c r="G218" s="154"/>
      <c r="H218" s="156"/>
      <c r="I218" s="156"/>
      <c r="J218" s="156"/>
      <c r="K218" s="156"/>
      <c r="L218" s="156"/>
      <c r="M218" s="156"/>
      <c r="N218" s="156"/>
      <c r="O218" s="219">
        <f>AA218</f>
        <v>2</v>
      </c>
      <c r="P218" s="154"/>
      <c r="Q218" s="96">
        <f>AC218+I218+J218+K218+L218+M218+N218+O218</f>
        <v>2</v>
      </c>
      <c r="R218" s="97">
        <f>IF(C218=2017, Q218/3,Q218)+P218</f>
        <v>2</v>
      </c>
      <c r="S218" s="222"/>
      <c r="T218" s="222"/>
      <c r="U218" s="166"/>
      <c r="V218" s="166">
        <f>2</f>
        <v>2</v>
      </c>
      <c r="W218" s="166"/>
      <c r="X218" s="166"/>
      <c r="Y218" s="120"/>
      <c r="Z218" s="96">
        <f>SUM(U218:X218)</f>
        <v>2</v>
      </c>
      <c r="AA218" s="97">
        <f>IF(C218=2016, Z218/3,Z218)+Y218</f>
        <v>2</v>
      </c>
      <c r="AB218" s="101"/>
      <c r="AC218" s="153"/>
      <c r="AD218" s="153"/>
      <c r="AE218" s="153"/>
      <c r="AF218" s="153"/>
      <c r="AG218" s="153"/>
      <c r="AH218" s="153"/>
      <c r="AI218" s="13"/>
      <c r="AJ218" s="95"/>
      <c r="AK218" s="96">
        <f>SUM(AC218:AI218)</f>
        <v>0</v>
      </c>
      <c r="AL218" s="97">
        <f>IF(C218=2015, AK218/3,AK218)+AJ218</f>
        <v>0</v>
      </c>
    </row>
    <row r="219" spans="1:57" x14ac:dyDescent="0.25">
      <c r="A219" s="71" t="s">
        <v>341</v>
      </c>
      <c r="B219" s="71" t="s">
        <v>232</v>
      </c>
      <c r="C219" s="72"/>
      <c r="D219" s="1">
        <f>R219+F219+E219</f>
        <v>0</v>
      </c>
      <c r="E219" s="237"/>
      <c r="F219" s="237"/>
      <c r="G219" s="120"/>
      <c r="H219" s="237"/>
      <c r="I219" s="237"/>
      <c r="J219" s="237"/>
      <c r="K219" s="237"/>
      <c r="L219" s="237"/>
      <c r="M219" s="237"/>
      <c r="N219" s="237"/>
      <c r="O219" s="219">
        <f>AA219</f>
        <v>0</v>
      </c>
      <c r="P219" s="120"/>
      <c r="Q219" s="96">
        <f>AC219+I219+J219+K219+L219+M219+N219+O219</f>
        <v>0</v>
      </c>
      <c r="R219" s="97">
        <f>IF(C219=2017, Q219/3,Q219)+P219</f>
        <v>0</v>
      </c>
      <c r="S219" s="222"/>
      <c r="T219" s="222"/>
      <c r="U219" s="237"/>
      <c r="V219" s="237"/>
      <c r="W219" s="237"/>
      <c r="X219" s="237">
        <f>AL219</f>
        <v>0</v>
      </c>
      <c r="Y219" s="120"/>
      <c r="Z219" s="96">
        <f>SUM(U219:X219)</f>
        <v>0</v>
      </c>
      <c r="AA219" s="97">
        <f>IF(C219=2016, Z219/3,Z219)+Y219</f>
        <v>0</v>
      </c>
      <c r="AB219" s="22"/>
      <c r="AC219" s="237"/>
      <c r="AD219" s="237"/>
      <c r="AE219" s="237"/>
      <c r="AF219" s="237">
        <f>0</f>
        <v>0</v>
      </c>
      <c r="AG219" s="237"/>
      <c r="AH219" s="237"/>
      <c r="AI219" s="240"/>
      <c r="AJ219" s="95"/>
      <c r="AK219" s="96">
        <f>SUM(AC219:AI219)</f>
        <v>0</v>
      </c>
      <c r="AL219" s="97">
        <f>IF(C219=2015, AK219/3,AK219)+AJ219</f>
        <v>0</v>
      </c>
    </row>
    <row r="220" spans="1:57" x14ac:dyDescent="0.25">
      <c r="A220" s="71" t="s">
        <v>259</v>
      </c>
      <c r="B220" s="60" t="s">
        <v>64</v>
      </c>
      <c r="C220" s="72">
        <v>2014</v>
      </c>
      <c r="D220" s="1">
        <f>R220+F220+E220</f>
        <v>6</v>
      </c>
      <c r="G220" s="120"/>
      <c r="J220" s="205"/>
      <c r="K220" s="205"/>
      <c r="L220" s="205"/>
      <c r="M220" s="205"/>
      <c r="N220" s="205"/>
      <c r="O220" s="219">
        <f>AA220</f>
        <v>6</v>
      </c>
      <c r="P220" s="120"/>
      <c r="Q220" s="96">
        <f>AC220+I220+J220+K220+L220+M220+N220+O220</f>
        <v>6</v>
      </c>
      <c r="R220" s="97">
        <f>IF(C220=2017, Q220/3,Q220)+P220</f>
        <v>6</v>
      </c>
      <c r="S220" s="222"/>
      <c r="T220" s="222"/>
      <c r="U220" s="205"/>
      <c r="V220" s="205"/>
      <c r="W220" s="205"/>
      <c r="X220" s="205">
        <f>AL220</f>
        <v>6</v>
      </c>
      <c r="Y220" s="120"/>
      <c r="Z220" s="96">
        <f>SUM(U220:X220)</f>
        <v>6</v>
      </c>
      <c r="AA220" s="97">
        <f>IF(C220=2016, Z220/3,Z220)+Y220</f>
        <v>6</v>
      </c>
      <c r="AB220" s="22"/>
      <c r="AC220" s="205"/>
      <c r="AD220" s="205"/>
      <c r="AE220" s="205">
        <f>6</f>
        <v>6</v>
      </c>
      <c r="AF220" s="205"/>
      <c r="AG220" s="205"/>
      <c r="AH220" s="205"/>
      <c r="AJ220" s="95"/>
      <c r="AK220" s="96">
        <f>SUM(AC220:AI220)</f>
        <v>6</v>
      </c>
      <c r="AL220" s="97">
        <f>IF(C220=2015, AK220/3,AK220)+AJ220</f>
        <v>6</v>
      </c>
    </row>
    <row r="221" spans="1:57" x14ac:dyDescent="0.25">
      <c r="A221" s="71" t="s">
        <v>301</v>
      </c>
      <c r="B221" s="66" t="s">
        <v>63</v>
      </c>
      <c r="C221" s="72">
        <v>2016</v>
      </c>
      <c r="D221" s="1">
        <f>R221+F221+E221</f>
        <v>6</v>
      </c>
      <c r="E221" s="156"/>
      <c r="F221" s="156"/>
      <c r="G221" s="122"/>
      <c r="H221" s="156"/>
      <c r="I221" s="156"/>
      <c r="J221" s="156"/>
      <c r="K221" s="156"/>
      <c r="L221" s="156"/>
      <c r="M221" s="156"/>
      <c r="N221" s="156"/>
      <c r="O221" s="219">
        <f>AA221</f>
        <v>6</v>
      </c>
      <c r="P221" s="122"/>
      <c r="Q221" s="96">
        <f>AC221+I221+J221+K221+L221+M221+N221+O221</f>
        <v>6</v>
      </c>
      <c r="R221" s="97">
        <f>IF(C221=2017, Q221/3,Q221)+P221</f>
        <v>6</v>
      </c>
      <c r="S221" s="222"/>
      <c r="T221" s="222"/>
      <c r="U221" s="108"/>
      <c r="V221" s="108"/>
      <c r="W221" s="108"/>
      <c r="X221" s="108">
        <f>AL221</f>
        <v>18</v>
      </c>
      <c r="Y221" s="122"/>
      <c r="Z221" s="96">
        <f>SUM(U221:X221)</f>
        <v>18</v>
      </c>
      <c r="AA221" s="97">
        <f>IF(C221=2016, Z221/3,Z221)+Y221</f>
        <v>6</v>
      </c>
      <c r="AB221" s="101"/>
      <c r="AC221" s="41"/>
      <c r="AD221" s="41"/>
      <c r="AE221" s="41"/>
      <c r="AF221" s="41">
        <f>18</f>
        <v>18</v>
      </c>
      <c r="AG221" s="41"/>
      <c r="AH221" s="41"/>
      <c r="AI221" s="13"/>
      <c r="AK221" s="96">
        <f>SUM(AC221:AI221)</f>
        <v>18</v>
      </c>
      <c r="AL221" s="97">
        <f>IF(C221=2015, AK221/3,AK221)+AJ221</f>
        <v>18</v>
      </c>
    </row>
    <row r="222" spans="1:57" x14ac:dyDescent="0.25">
      <c r="A222" s="71" t="s">
        <v>697</v>
      </c>
      <c r="B222" s="71" t="s">
        <v>64</v>
      </c>
      <c r="C222" s="72">
        <v>2014</v>
      </c>
      <c r="D222" s="1">
        <f>R222+F222+E222</f>
        <v>6</v>
      </c>
      <c r="G222" s="154"/>
      <c r="J222" s="205"/>
      <c r="K222" s="205"/>
      <c r="L222" s="205">
        <f>0+6</f>
        <v>6</v>
      </c>
      <c r="M222" s="205">
        <f>0</f>
        <v>0</v>
      </c>
      <c r="N222" s="205"/>
      <c r="O222" s="219">
        <f>AA222</f>
        <v>0</v>
      </c>
      <c r="P222" s="154"/>
      <c r="Q222" s="96">
        <f>AC222+I222+J222+K222+L222+M222+N222+O222</f>
        <v>6</v>
      </c>
      <c r="R222" s="97">
        <f>IF(C222=2017, Q222/3,Q222)+P222</f>
        <v>6</v>
      </c>
      <c r="S222" s="222"/>
      <c r="T222" s="222"/>
      <c r="U222" s="205">
        <f>0</f>
        <v>0</v>
      </c>
      <c r="V222" s="205"/>
      <c r="W222" s="205"/>
      <c r="X222" s="205"/>
      <c r="Y222" s="120"/>
      <c r="Z222" s="96">
        <f>SUM(U222:X222)</f>
        <v>0</v>
      </c>
      <c r="AA222" s="97">
        <f>IF(C222=2016, Z222/3,Z222)+Y222</f>
        <v>0</v>
      </c>
      <c r="AB222" s="22"/>
      <c r="AC222" s="237"/>
      <c r="AD222" s="237"/>
      <c r="AE222" s="237"/>
      <c r="AF222" s="237"/>
      <c r="AG222" s="237"/>
      <c r="AH222" s="237"/>
      <c r="AI222" s="240"/>
      <c r="AJ222" s="95"/>
      <c r="AK222" s="96">
        <f>SUM(AC222:AI222)</f>
        <v>0</v>
      </c>
      <c r="AL222" s="97">
        <f>IF(C222=2015, AK222/3,AK222)+AJ222</f>
        <v>0</v>
      </c>
    </row>
    <row r="223" spans="1:57" x14ac:dyDescent="0.25">
      <c r="A223" s="71" t="s">
        <v>846</v>
      </c>
      <c r="B223" s="71" t="s">
        <v>842</v>
      </c>
      <c r="C223" s="72">
        <v>2013</v>
      </c>
      <c r="D223" s="1">
        <f>R223+F223+E223</f>
        <v>46</v>
      </c>
      <c r="G223" s="154"/>
      <c r="L223" s="170">
        <f>40+6</f>
        <v>46</v>
      </c>
      <c r="M223" s="50">
        <f>0</f>
        <v>0</v>
      </c>
      <c r="O223" s="219">
        <f>AA223</f>
        <v>0</v>
      </c>
      <c r="P223" s="154"/>
      <c r="Q223" s="96">
        <f>AC223+I223+J223+K223+L223+M223+N223+O223</f>
        <v>46</v>
      </c>
      <c r="R223" s="97">
        <f>IF(C223=2017, Q223/3,Q223)+P223</f>
        <v>46</v>
      </c>
      <c r="Y223" s="120"/>
      <c r="Z223" s="96">
        <f>SUM(U223:X223)</f>
        <v>0</v>
      </c>
      <c r="AA223" s="97">
        <f>IF(C223=2016, Z223/3,Z223)+Y223</f>
        <v>0</v>
      </c>
      <c r="AB223" s="22"/>
      <c r="AC223" s="219"/>
      <c r="AD223" s="219"/>
      <c r="AE223" s="219"/>
      <c r="AF223" s="219"/>
      <c r="AG223" s="219"/>
      <c r="AH223" s="219"/>
      <c r="AJ223" s="95"/>
      <c r="AK223" s="96"/>
      <c r="AL223" s="97"/>
    </row>
    <row r="224" spans="1:57" x14ac:dyDescent="0.25">
      <c r="A224" s="71" t="s">
        <v>890</v>
      </c>
      <c r="B224" s="71" t="s">
        <v>63</v>
      </c>
      <c r="C224" s="72">
        <v>2013</v>
      </c>
      <c r="D224" s="1">
        <f>R224+F224+E224</f>
        <v>40</v>
      </c>
      <c r="G224" s="154"/>
      <c r="J224" s="205"/>
      <c r="K224" s="205"/>
      <c r="L224" s="205">
        <f>40</f>
        <v>40</v>
      </c>
      <c r="M224" s="205"/>
      <c r="N224" s="205"/>
      <c r="O224" s="219">
        <f>AA224</f>
        <v>0</v>
      </c>
      <c r="P224" s="154"/>
      <c r="Q224" s="96">
        <f>AC224+I224+J224+K224+L224+M224+N224+O224</f>
        <v>40</v>
      </c>
      <c r="R224" s="97">
        <f>IF(C224=2017, Q224/3,Q224)+P224</f>
        <v>40</v>
      </c>
      <c r="U224" s="205"/>
      <c r="V224" s="205"/>
      <c r="W224" s="205"/>
      <c r="X224" s="205"/>
      <c r="Y224" s="120"/>
      <c r="Z224" s="96">
        <f>SUM(U224:X224)</f>
        <v>0</v>
      </c>
      <c r="AA224" s="97">
        <f>IF(C224=2016, Z224/3,Z224)+Y224</f>
        <v>0</v>
      </c>
      <c r="AB224" s="22"/>
      <c r="AC224" s="237"/>
      <c r="AD224" s="237"/>
      <c r="AE224" s="237"/>
      <c r="AF224" s="237"/>
      <c r="AG224" s="237"/>
      <c r="AH224" s="237"/>
      <c r="AI224" s="240"/>
      <c r="AJ224" s="95"/>
      <c r="AK224" s="96"/>
      <c r="AL224" s="97"/>
    </row>
    <row r="225" spans="1:38" x14ac:dyDescent="0.25">
      <c r="A225" s="71" t="s">
        <v>767</v>
      </c>
      <c r="B225" s="71" t="s">
        <v>297</v>
      </c>
      <c r="C225" s="72">
        <v>2013</v>
      </c>
      <c r="D225" s="1">
        <f>R225+F225+E225</f>
        <v>17</v>
      </c>
      <c r="G225" s="154"/>
      <c r="K225" s="186">
        <f>6</f>
        <v>6</v>
      </c>
      <c r="N225" s="50">
        <f>11</f>
        <v>11</v>
      </c>
      <c r="O225" s="219">
        <f>AA225</f>
        <v>0</v>
      </c>
      <c r="P225" s="154"/>
      <c r="Q225" s="96">
        <f>AC225+I225+J225+K225+L225+M225+N225+O225</f>
        <v>17</v>
      </c>
      <c r="R225" s="97">
        <f>IF(C225=2017, Q225/3,Q225)+P225</f>
        <v>17</v>
      </c>
      <c r="S225" s="222"/>
      <c r="T225" s="222"/>
      <c r="Y225" s="120"/>
      <c r="Z225" s="96">
        <f>SUM(U225:X225)</f>
        <v>0</v>
      </c>
      <c r="AA225" s="97">
        <f>IF(C225=2016, Z225/3,Z225)+Y225</f>
        <v>0</v>
      </c>
      <c r="AB225" s="22"/>
      <c r="AC225" s="219"/>
      <c r="AD225" s="219"/>
      <c r="AE225" s="219"/>
      <c r="AF225" s="219"/>
      <c r="AG225" s="219"/>
      <c r="AH225" s="219"/>
      <c r="AJ225" s="95"/>
      <c r="AK225" s="96"/>
      <c r="AL225" s="97"/>
    </row>
    <row r="226" spans="1:38" x14ac:dyDescent="0.25">
      <c r="A226" s="71" t="s">
        <v>734</v>
      </c>
      <c r="B226" s="71" t="s">
        <v>6</v>
      </c>
      <c r="C226" s="72">
        <v>2015</v>
      </c>
      <c r="D226" s="1">
        <f>R226+F226+E226</f>
        <v>0</v>
      </c>
      <c r="G226" s="154"/>
      <c r="J226" s="205"/>
      <c r="K226" s="205"/>
      <c r="L226" s="205">
        <f>0</f>
        <v>0</v>
      </c>
      <c r="M226" s="205"/>
      <c r="N226" s="205"/>
      <c r="O226" s="219">
        <f>AA226</f>
        <v>0</v>
      </c>
      <c r="P226" s="154"/>
      <c r="Q226" s="96">
        <f>AC226+I226+J226+K226+L226+M226+N226+O226</f>
        <v>0</v>
      </c>
      <c r="R226" s="97">
        <f>IF(C226=2017, Q226/3,Q226)+P226</f>
        <v>0</v>
      </c>
      <c r="S226" s="222"/>
      <c r="T226" s="222"/>
      <c r="U226" s="205"/>
      <c r="V226" s="205"/>
      <c r="W226" s="205"/>
      <c r="X226" s="205"/>
      <c r="Y226" s="120"/>
      <c r="Z226" s="96">
        <f>SUM(U226:X226)</f>
        <v>0</v>
      </c>
      <c r="AA226" s="97">
        <f>IF(C226=2016, Z226/3,Z226)+Y226</f>
        <v>0</v>
      </c>
      <c r="AB226" s="22"/>
      <c r="AC226" s="219"/>
      <c r="AD226" s="219"/>
      <c r="AE226" s="219"/>
      <c r="AF226" s="219"/>
      <c r="AG226" s="219"/>
      <c r="AH226" s="219"/>
      <c r="AJ226" s="95"/>
      <c r="AK226" s="96">
        <f>SUM(AC226:AI226)</f>
        <v>0</v>
      </c>
      <c r="AL226" s="97">
        <f>IF(C226=2015, AK226/3,AK226)+AJ226</f>
        <v>0</v>
      </c>
    </row>
    <row r="227" spans="1:38" x14ac:dyDescent="0.25">
      <c r="A227" s="11" t="s">
        <v>553</v>
      </c>
      <c r="B227" s="60" t="s">
        <v>232</v>
      </c>
      <c r="C227" s="62">
        <v>2015</v>
      </c>
      <c r="D227" s="1">
        <f>R227+F227+E227</f>
        <v>154</v>
      </c>
      <c r="E227" s="237">
        <f>45+15</f>
        <v>60</v>
      </c>
      <c r="F227" s="237">
        <f>4</f>
        <v>4</v>
      </c>
      <c r="G227" s="154"/>
      <c r="H227" s="237"/>
      <c r="I227" s="237"/>
      <c r="J227" s="237"/>
      <c r="K227" s="237"/>
      <c r="L227" s="237"/>
      <c r="M227" s="237"/>
      <c r="N227" s="237"/>
      <c r="O227" s="219">
        <f>AA227</f>
        <v>90</v>
      </c>
      <c r="P227" s="154"/>
      <c r="Q227" s="96">
        <f>AC227+I227+J227+K227+L227+M227+N227+O227</f>
        <v>90</v>
      </c>
      <c r="R227" s="97">
        <f>IF(C227=2017, Q227/3,Q227)+P227</f>
        <v>90</v>
      </c>
      <c r="S227" s="222"/>
      <c r="T227" s="222"/>
      <c r="U227" s="237"/>
      <c r="V227" s="237">
        <f>43</f>
        <v>43</v>
      </c>
      <c r="W227" s="237">
        <f>32</f>
        <v>32</v>
      </c>
      <c r="X227" s="237">
        <f>15</f>
        <v>15</v>
      </c>
      <c r="Y227" s="120"/>
      <c r="Z227" s="96">
        <f>SUM(U227:X227)</f>
        <v>90</v>
      </c>
      <c r="AA227" s="97">
        <f>IF(C227=2016, Z227/3,Z227)+Y227</f>
        <v>90</v>
      </c>
      <c r="AB227" s="22"/>
      <c r="AC227" s="237"/>
      <c r="AD227" s="237"/>
      <c r="AE227" s="237"/>
      <c r="AF227" s="237"/>
      <c r="AG227" s="237"/>
      <c r="AH227" s="237"/>
      <c r="AI227" s="240"/>
      <c r="AJ227" s="95"/>
      <c r="AK227" s="96">
        <f>SUM(AC227:AI227)</f>
        <v>0</v>
      </c>
      <c r="AL227" s="97">
        <f>IF(C227=2015, AK227/3,AK227)+AJ227</f>
        <v>0</v>
      </c>
    </row>
    <row r="228" spans="1:38" x14ac:dyDescent="0.25">
      <c r="A228" s="11" t="s">
        <v>416</v>
      </c>
      <c r="B228" s="60" t="s">
        <v>63</v>
      </c>
      <c r="C228" s="62">
        <v>2014</v>
      </c>
      <c r="D228" s="1">
        <f>R228+F228+E228</f>
        <v>0</v>
      </c>
      <c r="E228" s="237"/>
      <c r="F228" s="237"/>
      <c r="G228" s="120"/>
      <c r="H228" s="237"/>
      <c r="I228" s="237"/>
      <c r="J228" s="237"/>
      <c r="K228" s="237"/>
      <c r="L228" s="237"/>
      <c r="M228" s="237"/>
      <c r="N228" s="237"/>
      <c r="O228" s="219">
        <f>AA228</f>
        <v>0</v>
      </c>
      <c r="P228" s="120"/>
      <c r="Q228" s="96">
        <f>AC228+I228+J228+K228+L228+M228+N228+O228</f>
        <v>0</v>
      </c>
      <c r="R228" s="97">
        <f>IF(C228=2017, Q228/3,Q228)+P228</f>
        <v>0</v>
      </c>
      <c r="S228" s="238"/>
      <c r="T228" s="238"/>
      <c r="U228" s="237"/>
      <c r="V228" s="237"/>
      <c r="W228" s="237"/>
      <c r="X228" s="237">
        <f>AL228</f>
        <v>0</v>
      </c>
      <c r="Y228" s="120"/>
      <c r="Z228" s="96">
        <f>SUM(U228:X228)</f>
        <v>0</v>
      </c>
      <c r="AA228" s="97">
        <f>IF(C228=2016, Z228/3,Z228)+Y228</f>
        <v>0</v>
      </c>
      <c r="AB228" s="22"/>
      <c r="AC228" s="237"/>
      <c r="AD228" s="237"/>
      <c r="AE228" s="237"/>
      <c r="AF228" s="237"/>
      <c r="AG228" s="237">
        <f>0</f>
        <v>0</v>
      </c>
      <c r="AH228" s="237"/>
      <c r="AI228" s="240"/>
      <c r="AJ228" s="95"/>
      <c r="AK228" s="96">
        <f>SUM(AC228:AI228)</f>
        <v>0</v>
      </c>
      <c r="AL228" s="97">
        <f>IF(C228=2015, AK228/3,AK228)+AJ228</f>
        <v>0</v>
      </c>
    </row>
    <row r="229" spans="1:38" x14ac:dyDescent="0.25">
      <c r="A229" s="71" t="s">
        <v>424</v>
      </c>
      <c r="B229" s="11" t="s">
        <v>0</v>
      </c>
      <c r="C229" s="3">
        <v>2016</v>
      </c>
      <c r="D229" s="1">
        <f>R229+F229+E229</f>
        <v>200</v>
      </c>
      <c r="E229" s="156">
        <f>18+16</f>
        <v>34</v>
      </c>
      <c r="F229" s="156"/>
      <c r="G229" s="122"/>
      <c r="H229" s="156"/>
      <c r="I229" s="156">
        <f>20+8</f>
        <v>28</v>
      </c>
      <c r="J229" s="156">
        <f>0+22</f>
        <v>22</v>
      </c>
      <c r="K229" s="156">
        <f>12+14+2</f>
        <v>28</v>
      </c>
      <c r="L229" s="156">
        <f>28+6</f>
        <v>34</v>
      </c>
      <c r="M229" s="156"/>
      <c r="N229" s="156">
        <f>28+8</f>
        <v>36</v>
      </c>
      <c r="O229" s="219">
        <f>AA229</f>
        <v>18</v>
      </c>
      <c r="P229" s="122"/>
      <c r="Q229" s="96">
        <f>AC229+I229+J229+K229+L229+M229+N229+O229</f>
        <v>166</v>
      </c>
      <c r="R229" s="97">
        <f>IF(C229=2017, Q229/3,Q229)+P229</f>
        <v>166</v>
      </c>
      <c r="S229" s="222"/>
      <c r="T229" s="222"/>
      <c r="U229" s="108">
        <f>0</f>
        <v>0</v>
      </c>
      <c r="V229" s="108">
        <f>24</f>
        <v>24</v>
      </c>
      <c r="W229" s="108">
        <f>9</f>
        <v>9</v>
      </c>
      <c r="X229" s="108">
        <f>AL229</f>
        <v>21</v>
      </c>
      <c r="Y229" s="122"/>
      <c r="Z229" s="96">
        <f>SUM(U229:X229)</f>
        <v>54</v>
      </c>
      <c r="AA229" s="97">
        <f>IF(C229=2016, Z229/3,Z229)+Y229</f>
        <v>18</v>
      </c>
      <c r="AB229" s="101"/>
      <c r="AC229" s="41"/>
      <c r="AD229" s="41"/>
      <c r="AE229" s="41"/>
      <c r="AF229" s="41"/>
      <c r="AG229" s="41">
        <f>12</f>
        <v>12</v>
      </c>
      <c r="AH229" s="41">
        <f>9</f>
        <v>9</v>
      </c>
      <c r="AI229" s="13"/>
      <c r="AK229" s="96">
        <f>SUM(AC229:AI229)</f>
        <v>21</v>
      </c>
      <c r="AL229" s="97">
        <f>IF(C229=2015, AK229/3,AK229)+AJ229</f>
        <v>21</v>
      </c>
    </row>
    <row r="230" spans="1:38" x14ac:dyDescent="0.25">
      <c r="A230" s="11" t="s">
        <v>619</v>
      </c>
      <c r="B230" s="60" t="s">
        <v>297</v>
      </c>
      <c r="C230" s="62"/>
      <c r="D230" s="1">
        <f>R230+F230+E230</f>
        <v>6</v>
      </c>
      <c r="E230" s="237"/>
      <c r="F230" s="237"/>
      <c r="G230" s="154"/>
      <c r="H230" s="237"/>
      <c r="I230" s="237"/>
      <c r="J230" s="237"/>
      <c r="K230" s="237"/>
      <c r="L230" s="237"/>
      <c r="M230" s="237"/>
      <c r="N230" s="237"/>
      <c r="O230" s="219">
        <f>AA230</f>
        <v>6</v>
      </c>
      <c r="P230" s="154"/>
      <c r="Q230" s="96">
        <f>AC230+I230+J230+K230+L230+M230+N230+O230</f>
        <v>6</v>
      </c>
      <c r="R230" s="97">
        <f>IF(C230=2017, Q230/3,Q230)+P230</f>
        <v>6</v>
      </c>
      <c r="S230" s="222"/>
      <c r="T230" s="222"/>
      <c r="U230" s="237"/>
      <c r="V230" s="237">
        <f>6</f>
        <v>6</v>
      </c>
      <c r="W230" s="237"/>
      <c r="X230" s="237"/>
      <c r="Y230" s="120"/>
      <c r="Z230" s="96">
        <f>SUM(U230:X230)</f>
        <v>6</v>
      </c>
      <c r="AA230" s="97">
        <f>IF(C230=2016, Z230/3,Z230)+Y230</f>
        <v>6</v>
      </c>
      <c r="AB230" s="22"/>
      <c r="AC230" s="237"/>
      <c r="AD230" s="237"/>
      <c r="AE230" s="237"/>
      <c r="AF230" s="237"/>
      <c r="AG230" s="237"/>
      <c r="AH230" s="237"/>
      <c r="AI230" s="240"/>
      <c r="AJ230" s="95"/>
      <c r="AK230" s="96">
        <f>SUM(AC230:AI230)</f>
        <v>0</v>
      </c>
      <c r="AL230" s="97">
        <f>IF(C230=2015, AK230/3,AK230)+AJ230</f>
        <v>0</v>
      </c>
    </row>
    <row r="231" spans="1:38" x14ac:dyDescent="0.25">
      <c r="A231" s="11" t="s">
        <v>824</v>
      </c>
      <c r="B231" s="60" t="s">
        <v>587</v>
      </c>
      <c r="C231" s="62">
        <v>2013</v>
      </c>
      <c r="D231" s="1">
        <f>R231+F231+E231</f>
        <v>3</v>
      </c>
      <c r="G231" s="154"/>
      <c r="N231" s="50">
        <f>3</f>
        <v>3</v>
      </c>
      <c r="O231" s="219">
        <f>AA231</f>
        <v>0</v>
      </c>
      <c r="P231" s="154"/>
      <c r="Q231" s="96">
        <f>AC231+I231+J231+K231+L231+M231+N231+O231</f>
        <v>3</v>
      </c>
      <c r="R231" s="97">
        <f>IF(C231=2017, Q231/3,Q231)+P231</f>
        <v>3</v>
      </c>
      <c r="S231" s="222"/>
      <c r="T231" s="222"/>
      <c r="Y231" s="120"/>
      <c r="Z231" s="96">
        <f>SUM(U231:X231)</f>
        <v>0</v>
      </c>
      <c r="AA231" s="97">
        <f>IF(C231=2016, Z231/3,Z231)+Y231</f>
        <v>0</v>
      </c>
      <c r="AB231" s="22"/>
      <c r="AJ231" s="95"/>
      <c r="AK231" s="96"/>
      <c r="AL231" s="97"/>
    </row>
    <row r="232" spans="1:38" x14ac:dyDescent="0.25">
      <c r="A232" s="71" t="s">
        <v>431</v>
      </c>
      <c r="B232" s="11" t="s">
        <v>406</v>
      </c>
      <c r="C232" s="3">
        <v>2016</v>
      </c>
      <c r="D232" s="1">
        <f>R232+F232+E232</f>
        <v>0</v>
      </c>
      <c r="E232" s="156"/>
      <c r="F232" s="156"/>
      <c r="G232" s="122"/>
      <c r="H232" s="156"/>
      <c r="I232" s="156"/>
      <c r="J232" s="156"/>
      <c r="K232" s="156"/>
      <c r="L232" s="156"/>
      <c r="M232" s="156"/>
      <c r="N232" s="156"/>
      <c r="O232" s="219">
        <f>AA232</f>
        <v>0</v>
      </c>
      <c r="P232" s="122"/>
      <c r="Q232" s="96">
        <f>AC232+I232+J232+K232+L232+M232+N232+O232</f>
        <v>0</v>
      </c>
      <c r="R232" s="97">
        <f>IF(C232=2017, Q232/3,Q232)+P232</f>
        <v>0</v>
      </c>
      <c r="S232" s="222"/>
      <c r="T232" s="222"/>
      <c r="U232" s="108"/>
      <c r="V232" s="108"/>
      <c r="W232" s="108"/>
      <c r="X232" s="108">
        <f>AL232</f>
        <v>0</v>
      </c>
      <c r="Y232" s="122"/>
      <c r="Z232" s="96">
        <f>SUM(U232:X232)</f>
        <v>0</v>
      </c>
      <c r="AA232" s="97">
        <f>IF(C232=2016, Z232/3,Z232)+Y232</f>
        <v>0</v>
      </c>
      <c r="AB232" s="101"/>
      <c r="AC232" s="41"/>
      <c r="AD232" s="41"/>
      <c r="AE232" s="41"/>
      <c r="AF232" s="41"/>
      <c r="AG232" s="41">
        <v>0</v>
      </c>
      <c r="AH232" s="41"/>
      <c r="AI232" s="13"/>
      <c r="AK232" s="96">
        <f>SUM(AC232:AI232)</f>
        <v>0</v>
      </c>
      <c r="AL232" s="97">
        <f>IF(C232=2015, AK232/3,AK232)+AJ232</f>
        <v>0</v>
      </c>
    </row>
    <row r="233" spans="1:38" x14ac:dyDescent="0.25">
      <c r="A233" s="11" t="s">
        <v>870</v>
      </c>
      <c r="B233" s="60" t="s">
        <v>479</v>
      </c>
      <c r="C233" s="62">
        <v>2013</v>
      </c>
      <c r="D233" s="1">
        <f>R233+F233+E233</f>
        <v>3</v>
      </c>
      <c r="G233" s="154"/>
      <c r="J233" s="205"/>
      <c r="K233" s="205"/>
      <c r="L233" s="205"/>
      <c r="M233" s="205">
        <f>2+1</f>
        <v>3</v>
      </c>
      <c r="N233" s="205"/>
      <c r="O233" s="219">
        <f>AA233</f>
        <v>0</v>
      </c>
      <c r="P233" s="154"/>
      <c r="Q233" s="96">
        <f>AC233+I233+J233+K233+L233+M233+N233+O233</f>
        <v>3</v>
      </c>
      <c r="R233" s="97">
        <f>IF(C233=2017, Q233/3,Q233)+P233</f>
        <v>3</v>
      </c>
      <c r="U233" s="205"/>
      <c r="V233" s="205"/>
      <c r="W233" s="205"/>
      <c r="X233" s="205"/>
      <c r="Y233" s="120"/>
      <c r="Z233" s="96">
        <f>SUM(U233:X233)</f>
        <v>0</v>
      </c>
      <c r="AA233" s="97">
        <f>IF(C233=2016, Z233/3,Z233)+Y233</f>
        <v>0</v>
      </c>
      <c r="AB233" s="22"/>
      <c r="AC233" s="205"/>
      <c r="AD233" s="205"/>
      <c r="AE233" s="205"/>
      <c r="AF233" s="205"/>
      <c r="AG233" s="205"/>
      <c r="AH233" s="205"/>
      <c r="AJ233" s="95"/>
      <c r="AK233" s="96"/>
      <c r="AL233" s="97"/>
    </row>
    <row r="234" spans="1:38" x14ac:dyDescent="0.25">
      <c r="A234" s="45" t="s">
        <v>65</v>
      </c>
      <c r="B234" s="11" t="s">
        <v>0</v>
      </c>
      <c r="C234" s="46">
        <v>2017</v>
      </c>
      <c r="D234" s="1">
        <f>R234+F234+E234</f>
        <v>87</v>
      </c>
      <c r="E234" s="108">
        <f>22+12</f>
        <v>34</v>
      </c>
      <c r="F234" s="108"/>
      <c r="G234" s="122"/>
      <c r="H234" s="108"/>
      <c r="I234" s="108">
        <f>3+3</f>
        <v>6</v>
      </c>
      <c r="J234" s="108">
        <f>9</f>
        <v>9</v>
      </c>
      <c r="K234" s="108">
        <f>9+3</f>
        <v>12</v>
      </c>
      <c r="L234" s="108">
        <f>6+3</f>
        <v>9</v>
      </c>
      <c r="M234" s="108">
        <f>18</f>
        <v>18</v>
      </c>
      <c r="N234" s="108">
        <v>9</v>
      </c>
      <c r="O234" s="219">
        <f>AA234</f>
        <v>96</v>
      </c>
      <c r="P234" s="122"/>
      <c r="Q234" s="96">
        <f>AC234+I234+J234+K234+L234+M234+N234+O234</f>
        <v>159</v>
      </c>
      <c r="R234" s="97">
        <f>IF(C234=2017, Q234/3,Q234)+P234</f>
        <v>53</v>
      </c>
      <c r="S234" s="101"/>
      <c r="T234" s="108"/>
      <c r="U234" s="108">
        <f>30</f>
        <v>30</v>
      </c>
      <c r="V234" s="108">
        <f>24</f>
        <v>24</v>
      </c>
      <c r="W234" s="108"/>
      <c r="X234" s="108">
        <f>AL234</f>
        <v>42</v>
      </c>
      <c r="Y234" s="122"/>
      <c r="Z234" s="96">
        <f>SUM(U234:X234)</f>
        <v>96</v>
      </c>
      <c r="AA234" s="97">
        <f>IF(C234=2016, Z234/3,Z234)+Y234</f>
        <v>96</v>
      </c>
      <c r="AB234" s="101"/>
      <c r="AC234" s="41">
        <f>0</f>
        <v>0</v>
      </c>
      <c r="AD234" s="41"/>
      <c r="AE234" s="41">
        <f>6</f>
        <v>6</v>
      </c>
      <c r="AF234" s="41">
        <f>12</f>
        <v>12</v>
      </c>
      <c r="AG234" s="41">
        <f>12</f>
        <v>12</v>
      </c>
      <c r="AH234" s="41">
        <f>12</f>
        <v>12</v>
      </c>
      <c r="AI234" s="13">
        <v>0</v>
      </c>
      <c r="AK234" s="3">
        <f>SUM(AC234:AJ234)</f>
        <v>42</v>
      </c>
      <c r="AL234" s="3">
        <f>AK234</f>
        <v>42</v>
      </c>
    </row>
    <row r="235" spans="1:38" x14ac:dyDescent="0.25">
      <c r="A235" s="11" t="s">
        <v>134</v>
      </c>
      <c r="B235" s="60" t="s">
        <v>64</v>
      </c>
      <c r="C235" s="62">
        <v>2013</v>
      </c>
      <c r="D235" s="1">
        <f>R235+F235+E235</f>
        <v>93</v>
      </c>
      <c r="E235" s="233">
        <f>0</f>
        <v>0</v>
      </c>
      <c r="G235" s="120"/>
      <c r="J235" s="196">
        <f>0</f>
        <v>0</v>
      </c>
      <c r="L235" s="170">
        <f>0+9+6</f>
        <v>15</v>
      </c>
      <c r="M235" s="50">
        <f>0+18</f>
        <v>18</v>
      </c>
      <c r="N235" s="50">
        <f>6</f>
        <v>6</v>
      </c>
      <c r="O235" s="219">
        <f>AA235</f>
        <v>54</v>
      </c>
      <c r="P235" s="120"/>
      <c r="Q235" s="96">
        <f>AC235+I235+J235+K235+L235+M235+N235+O235</f>
        <v>93</v>
      </c>
      <c r="R235" s="97">
        <f>IF(C235=2017, Q235/3,Q235)+P235</f>
        <v>93</v>
      </c>
      <c r="S235" s="222"/>
      <c r="T235" s="222"/>
      <c r="V235" s="50">
        <f>2</f>
        <v>2</v>
      </c>
      <c r="W235" s="50">
        <f>18+6</f>
        <v>24</v>
      </c>
      <c r="X235" s="50">
        <f>AL235</f>
        <v>28</v>
      </c>
      <c r="Y235" s="120"/>
      <c r="Z235" s="96">
        <f>SUM(U235:X235)</f>
        <v>54</v>
      </c>
      <c r="AA235" s="97">
        <f>IF(C235=2016, Z235/3,Z235)+Y235</f>
        <v>54</v>
      </c>
      <c r="AB235" s="22"/>
      <c r="AC235" s="41"/>
      <c r="AD235" s="41">
        <v>8</v>
      </c>
      <c r="AE235" s="41">
        <f>20</f>
        <v>20</v>
      </c>
      <c r="AF235" s="41"/>
      <c r="AG235" s="41"/>
      <c r="AH235" s="41"/>
      <c r="AI235" s="13"/>
      <c r="AJ235" s="95"/>
      <c r="AK235" s="96">
        <f>SUM(AC235:AI235)</f>
        <v>28</v>
      </c>
      <c r="AL235" s="97">
        <f>IF(C235=2015, AK235/3,AK235)+AJ235</f>
        <v>28</v>
      </c>
    </row>
    <row r="236" spans="1:38" x14ac:dyDescent="0.25">
      <c r="A236" s="45" t="s">
        <v>434</v>
      </c>
      <c r="B236" s="66" t="s">
        <v>7</v>
      </c>
      <c r="C236" s="46">
        <v>2016</v>
      </c>
      <c r="D236" s="1">
        <f>R236+F236+E236</f>
        <v>0</v>
      </c>
      <c r="E236" s="156"/>
      <c r="F236" s="156"/>
      <c r="G236" s="122"/>
      <c r="H236" s="156"/>
      <c r="I236" s="156"/>
      <c r="J236" s="156"/>
      <c r="K236" s="156"/>
      <c r="L236" s="156"/>
      <c r="M236" s="156"/>
      <c r="N236" s="156"/>
      <c r="O236" s="219">
        <f>AA236</f>
        <v>0</v>
      </c>
      <c r="P236" s="122"/>
      <c r="Q236" s="96">
        <f>AC236+I236+J236+K236+L236+M236+N236+O236</f>
        <v>0</v>
      </c>
      <c r="R236" s="97">
        <f>IF(C236=2017, Q236/3,Q236)+P236</f>
        <v>0</v>
      </c>
      <c r="S236" s="238"/>
      <c r="T236" s="238"/>
      <c r="U236" s="108"/>
      <c r="V236" s="108"/>
      <c r="W236" s="108"/>
      <c r="X236" s="108">
        <f>AL236</f>
        <v>0</v>
      </c>
      <c r="Y236" s="122"/>
      <c r="Z236" s="96">
        <f>SUM(U236:X236)</f>
        <v>0</v>
      </c>
      <c r="AA236" s="97">
        <f>IF(C236=2016, Z236/3,Z236)+Y236</f>
        <v>0</v>
      </c>
      <c r="AB236" s="101"/>
      <c r="AC236" s="41"/>
      <c r="AD236" s="41"/>
      <c r="AE236" s="41"/>
      <c r="AF236" s="41"/>
      <c r="AG236" s="41">
        <f>0</f>
        <v>0</v>
      </c>
      <c r="AH236" s="41"/>
      <c r="AI236" s="13"/>
      <c r="AK236" s="96">
        <f>SUM(AC236:AI236)</f>
        <v>0</v>
      </c>
      <c r="AL236" s="97">
        <f>IF(C236=2015, AK236/3,AK236)+AJ236</f>
        <v>0</v>
      </c>
    </row>
    <row r="237" spans="1:38" x14ac:dyDescent="0.25">
      <c r="A237" s="45" t="s">
        <v>72</v>
      </c>
      <c r="B237" s="66" t="s">
        <v>64</v>
      </c>
      <c r="C237" s="46">
        <v>2015</v>
      </c>
      <c r="D237" s="1">
        <f>R237+F237+E237</f>
        <v>0</v>
      </c>
      <c r="E237" s="237"/>
      <c r="F237" s="237"/>
      <c r="G237" s="120"/>
      <c r="H237" s="237"/>
      <c r="I237" s="237"/>
      <c r="J237" s="237"/>
      <c r="K237" s="237"/>
      <c r="L237" s="237"/>
      <c r="M237" s="237"/>
      <c r="N237" s="237"/>
      <c r="O237" s="219">
        <f>AA237</f>
        <v>0</v>
      </c>
      <c r="P237" s="120"/>
      <c r="Q237" s="96">
        <f>AC237+I237+J237+K237+L237+M237+N237+O237</f>
        <v>0</v>
      </c>
      <c r="R237" s="97">
        <f>IF(C237=2017, Q237/3,Q237)+P237</f>
        <v>0</v>
      </c>
      <c r="S237" s="238"/>
      <c r="T237" s="238"/>
      <c r="U237" s="170"/>
      <c r="V237" s="170"/>
      <c r="W237" s="170"/>
      <c r="X237" s="170">
        <f>AL237</f>
        <v>0</v>
      </c>
      <c r="Y237" s="120"/>
      <c r="Z237" s="96">
        <f>SUM(U237:X237)</f>
        <v>0</v>
      </c>
      <c r="AA237" s="97">
        <f>IF(C237=2016, Z237/3,Z237)+Y237</f>
        <v>0</v>
      </c>
      <c r="AB237" s="101"/>
      <c r="AC237" s="41"/>
      <c r="AD237" s="41">
        <v>0</v>
      </c>
      <c r="AE237" s="41"/>
      <c r="AF237" s="41"/>
      <c r="AG237" s="41"/>
      <c r="AH237" s="41"/>
      <c r="AI237" s="13"/>
      <c r="AJ237" s="95"/>
      <c r="AK237" s="96">
        <f>SUM(AC237:AI237)</f>
        <v>0</v>
      </c>
      <c r="AL237" s="97">
        <f>IF(C237=2015, AK237/3,AK237)+AJ237</f>
        <v>0</v>
      </c>
    </row>
    <row r="238" spans="1:38" x14ac:dyDescent="0.25">
      <c r="A238" s="11" t="s">
        <v>847</v>
      </c>
      <c r="B238" s="60" t="s">
        <v>63</v>
      </c>
      <c r="C238" s="62">
        <v>2016</v>
      </c>
      <c r="D238" s="1">
        <f>R238+F238+E238</f>
        <v>0</v>
      </c>
      <c r="E238" s="237"/>
      <c r="F238" s="237"/>
      <c r="G238" s="154"/>
      <c r="H238" s="237"/>
      <c r="I238" s="237"/>
      <c r="J238" s="237"/>
      <c r="K238" s="237"/>
      <c r="L238" s="237"/>
      <c r="M238" s="237">
        <f>0</f>
        <v>0</v>
      </c>
      <c r="N238" s="237"/>
      <c r="O238" s="219">
        <f>AA238</f>
        <v>0</v>
      </c>
      <c r="P238" s="154"/>
      <c r="Q238" s="96">
        <f>AC238+I238+J238+K238+L238+M238+N238+O238</f>
        <v>0</v>
      </c>
      <c r="R238" s="97">
        <f>IF(C238=2017, Q238/3,Q238)+P238</f>
        <v>0</v>
      </c>
      <c r="U238" s="196"/>
      <c r="V238" s="196"/>
      <c r="W238" s="196"/>
      <c r="X238" s="196"/>
      <c r="Y238" s="120"/>
      <c r="Z238" s="96">
        <f>SUM(U238:X238)</f>
        <v>0</v>
      </c>
      <c r="AA238" s="97">
        <f>IF(C238=2016, Z238/3,Z238)+Y238</f>
        <v>0</v>
      </c>
      <c r="AB238" s="22"/>
      <c r="AC238" s="237"/>
      <c r="AD238" s="237"/>
      <c r="AE238" s="237"/>
      <c r="AF238" s="237"/>
      <c r="AG238" s="237"/>
      <c r="AH238" s="237"/>
      <c r="AI238" s="240"/>
      <c r="AJ238" s="95"/>
      <c r="AK238" s="96"/>
      <c r="AL238" s="97"/>
    </row>
    <row r="239" spans="1:38" x14ac:dyDescent="0.25">
      <c r="A239" s="11" t="s">
        <v>130</v>
      </c>
      <c r="B239" s="60" t="s">
        <v>63</v>
      </c>
      <c r="C239" s="62">
        <v>2014</v>
      </c>
      <c r="D239" s="1">
        <f>R239+F239+E239</f>
        <v>86</v>
      </c>
      <c r="G239" s="120"/>
      <c r="K239" s="196"/>
      <c r="L239" s="196"/>
      <c r="M239" s="196"/>
      <c r="N239" s="196"/>
      <c r="O239" s="219">
        <f>AA239</f>
        <v>86</v>
      </c>
      <c r="P239" s="120"/>
      <c r="Q239" s="96">
        <f>AC239+I239+J239+K239+L239+M239+N239+O239</f>
        <v>86</v>
      </c>
      <c r="R239" s="97">
        <f>IF(C239=2017, Q239/3,Q239)+P239</f>
        <v>86</v>
      </c>
      <c r="S239" s="238"/>
      <c r="T239" s="238"/>
      <c r="U239" s="196"/>
      <c r="V239" s="196"/>
      <c r="W239" s="196"/>
      <c r="X239" s="196">
        <f>AL239</f>
        <v>86</v>
      </c>
      <c r="Y239" s="120"/>
      <c r="Z239" s="96">
        <f>SUM(U239:X239)</f>
        <v>86</v>
      </c>
      <c r="AA239" s="97">
        <f>IF(C239=2016, Z239/3,Z239)+Y239</f>
        <v>86</v>
      </c>
      <c r="AB239" s="22"/>
      <c r="AC239" s="41"/>
      <c r="AD239" s="41">
        <v>8</v>
      </c>
      <c r="AE239" s="41">
        <f>16</f>
        <v>16</v>
      </c>
      <c r="AF239" s="41">
        <f>18</f>
        <v>18</v>
      </c>
      <c r="AG239" s="41">
        <f>21</f>
        <v>21</v>
      </c>
      <c r="AH239" s="41">
        <f>23</f>
        <v>23</v>
      </c>
      <c r="AI239" s="13"/>
      <c r="AJ239" s="95"/>
      <c r="AK239" s="96">
        <f>SUM(AC239:AI239)</f>
        <v>86</v>
      </c>
      <c r="AL239" s="97">
        <f>IF(C239=2015, AK239/3,AK239)+AJ239</f>
        <v>86</v>
      </c>
    </row>
    <row r="240" spans="1:38" x14ac:dyDescent="0.25">
      <c r="A240" s="45" t="s">
        <v>447</v>
      </c>
      <c r="B240" s="66" t="s">
        <v>406</v>
      </c>
      <c r="C240" s="46">
        <v>2016</v>
      </c>
      <c r="D240" s="1">
        <f>R240+F240+E240</f>
        <v>2.3333333333333335</v>
      </c>
      <c r="E240" s="156"/>
      <c r="F240" s="156"/>
      <c r="G240" s="122"/>
      <c r="H240" s="156"/>
      <c r="I240" s="156"/>
      <c r="J240" s="156"/>
      <c r="K240" s="156"/>
      <c r="L240" s="156"/>
      <c r="M240" s="156"/>
      <c r="N240" s="156"/>
      <c r="O240" s="219">
        <f>AA240</f>
        <v>2.3333333333333335</v>
      </c>
      <c r="P240" s="122"/>
      <c r="Q240" s="96">
        <f>AC240+I240+J240+K240+L240+M240+N240+O240</f>
        <v>2.3333333333333335</v>
      </c>
      <c r="R240" s="97">
        <f>IF(C240=2017, Q240/3,Q240)+P240</f>
        <v>2.3333333333333335</v>
      </c>
      <c r="S240" s="238"/>
      <c r="T240" s="238"/>
      <c r="U240" s="108"/>
      <c r="V240" s="108"/>
      <c r="W240" s="108"/>
      <c r="X240" s="108">
        <f>AL240</f>
        <v>7</v>
      </c>
      <c r="Y240" s="122"/>
      <c r="Z240" s="96">
        <f>SUM(U240:X240)</f>
        <v>7</v>
      </c>
      <c r="AA240" s="97">
        <f>IF(C240=2016, Z240/3,Z240)+Y240</f>
        <v>2.3333333333333335</v>
      </c>
      <c r="AB240" s="101"/>
      <c r="AC240" s="41"/>
      <c r="AD240" s="41"/>
      <c r="AE240" s="41"/>
      <c r="AF240" s="41"/>
      <c r="AG240" s="41">
        <f>7</f>
        <v>7</v>
      </c>
      <c r="AH240" s="41"/>
      <c r="AI240" s="13"/>
      <c r="AK240" s="96">
        <f>SUM(AC240:AI240)</f>
        <v>7</v>
      </c>
      <c r="AL240" s="97">
        <f>IF(C240=2015, AK240/3,AK240)+AJ240</f>
        <v>7</v>
      </c>
    </row>
    <row r="241" spans="1:38" x14ac:dyDescent="0.25">
      <c r="A241" s="11" t="s">
        <v>776</v>
      </c>
      <c r="B241" s="60" t="s">
        <v>63</v>
      </c>
      <c r="C241" s="62">
        <v>2014</v>
      </c>
      <c r="D241" s="1">
        <f>R241+F241+E241</f>
        <v>0</v>
      </c>
      <c r="E241" s="237"/>
      <c r="F241" s="237"/>
      <c r="G241" s="154"/>
      <c r="H241" s="237"/>
      <c r="I241" s="237"/>
      <c r="J241" s="237"/>
      <c r="K241" s="237"/>
      <c r="L241" s="237"/>
      <c r="M241" s="237"/>
      <c r="N241" s="237">
        <f>0</f>
        <v>0</v>
      </c>
      <c r="O241" s="219">
        <f>AA241</f>
        <v>0</v>
      </c>
      <c r="P241" s="154"/>
      <c r="Q241" s="96">
        <f>AC241+I241+J241+K241+L241+M241+N241+O241</f>
        <v>0</v>
      </c>
      <c r="R241" s="97">
        <f>IF(C241=2017, Q241/3,Q241)+P241</f>
        <v>0</v>
      </c>
      <c r="S241" s="238"/>
      <c r="T241" s="238"/>
      <c r="U241" s="237"/>
      <c r="V241" s="237"/>
      <c r="W241" s="237"/>
      <c r="X241" s="237"/>
      <c r="Y241" s="120"/>
      <c r="Z241" s="96">
        <f>SUM(U241:X241)</f>
        <v>0</v>
      </c>
      <c r="AA241" s="97">
        <f>IF(C241=2016, Z241/3,Z241)+Y241</f>
        <v>0</v>
      </c>
      <c r="AB241" s="22"/>
      <c r="AC241" s="237"/>
      <c r="AD241" s="237"/>
      <c r="AE241" s="237"/>
      <c r="AF241" s="237"/>
      <c r="AG241" s="237"/>
      <c r="AH241" s="237"/>
      <c r="AI241" s="240"/>
      <c r="AJ241" s="95"/>
      <c r="AK241" s="96"/>
      <c r="AL241" s="97"/>
    </row>
    <row r="242" spans="1:38" x14ac:dyDescent="0.25">
      <c r="A242" s="11" t="s">
        <v>805</v>
      </c>
      <c r="B242" s="60" t="s">
        <v>587</v>
      </c>
      <c r="C242" s="62">
        <v>2013</v>
      </c>
      <c r="D242" s="1">
        <f>R242+F242+E242</f>
        <v>6</v>
      </c>
      <c r="E242" s="237"/>
      <c r="F242" s="237"/>
      <c r="G242" s="154"/>
      <c r="H242" s="237"/>
      <c r="I242" s="237"/>
      <c r="J242" s="237"/>
      <c r="K242" s="237"/>
      <c r="L242" s="237"/>
      <c r="M242" s="237"/>
      <c r="N242" s="237">
        <f>3</f>
        <v>3</v>
      </c>
      <c r="O242" s="219">
        <f>AA242</f>
        <v>3</v>
      </c>
      <c r="P242" s="154"/>
      <c r="Q242" s="96">
        <f>AC242+I242+J242+K242+L242+M242+N242+O242</f>
        <v>6</v>
      </c>
      <c r="R242" s="97">
        <f>IF(C242=2017, Q242/3,Q242)+P242</f>
        <v>6</v>
      </c>
      <c r="S242" s="238"/>
      <c r="T242" s="238"/>
      <c r="U242" s="237"/>
      <c r="V242" s="237"/>
      <c r="W242" s="237">
        <f>0</f>
        <v>0</v>
      </c>
      <c r="X242" s="237"/>
      <c r="Y242" s="120">
        <f>3</f>
        <v>3</v>
      </c>
      <c r="Z242" s="96">
        <f>SUM(U242:X242)</f>
        <v>0</v>
      </c>
      <c r="AA242" s="97">
        <f>IF(C242=2016, Z242/3,Z242)+Y242</f>
        <v>3</v>
      </c>
      <c r="AB242" s="22"/>
      <c r="AC242" s="153"/>
      <c r="AD242" s="153"/>
      <c r="AE242" s="153"/>
      <c r="AF242" s="153"/>
      <c r="AG242" s="153"/>
      <c r="AH242" s="153"/>
      <c r="AI242" s="13"/>
      <c r="AJ242" s="95"/>
      <c r="AK242" s="96">
        <f>SUM(AC242:AI242)</f>
        <v>0</v>
      </c>
      <c r="AL242" s="97">
        <f>IF(C242=2015, AK242/3,AK242)+AJ242</f>
        <v>0</v>
      </c>
    </row>
    <row r="243" spans="1:38" x14ac:dyDescent="0.25">
      <c r="A243" s="11" t="s">
        <v>473</v>
      </c>
      <c r="B243" s="60" t="s">
        <v>6</v>
      </c>
      <c r="C243" s="62">
        <v>2013</v>
      </c>
      <c r="D243" s="1">
        <f>R243+F243+E243</f>
        <v>32</v>
      </c>
      <c r="G243" s="120"/>
      <c r="O243" s="219">
        <f>AA243</f>
        <v>32</v>
      </c>
      <c r="P243" s="120"/>
      <c r="Q243" s="96">
        <f>AC243+I243+J243+K243+L243+M243+N243+O243</f>
        <v>32</v>
      </c>
      <c r="R243" s="97">
        <f>IF(C243=2017, Q243/3,Q243)+P243</f>
        <v>32</v>
      </c>
      <c r="S243" s="238"/>
      <c r="T243" s="238"/>
      <c r="X243" s="50">
        <f>AL243</f>
        <v>32</v>
      </c>
      <c r="Y243" s="120"/>
      <c r="Z243" s="96">
        <f>SUM(U243:X243)</f>
        <v>32</v>
      </c>
      <c r="AA243" s="97">
        <f>IF(C243=2016, Z243/3,Z243)+Y243</f>
        <v>32</v>
      </c>
      <c r="AB243" s="22"/>
      <c r="AC243" s="41"/>
      <c r="AD243" s="41"/>
      <c r="AE243" s="41"/>
      <c r="AF243" s="41"/>
      <c r="AG243" s="41"/>
      <c r="AH243" s="41">
        <f>32</f>
        <v>32</v>
      </c>
      <c r="AI243" s="13"/>
      <c r="AJ243" s="95"/>
      <c r="AK243" s="96">
        <f>SUM(AC243:AI243)</f>
        <v>32</v>
      </c>
      <c r="AL243" s="97">
        <f>IF(C243=2015, AK243/3,AK243)+AJ243</f>
        <v>32</v>
      </c>
    </row>
    <row r="244" spans="1:38" x14ac:dyDescent="0.25">
      <c r="A244" s="11" t="s">
        <v>99</v>
      </c>
      <c r="B244" s="60" t="s">
        <v>64</v>
      </c>
      <c r="C244" s="62">
        <v>2013</v>
      </c>
      <c r="D244" s="1">
        <f>R244+F244+E244</f>
        <v>12</v>
      </c>
      <c r="E244" s="237"/>
      <c r="F244" s="237"/>
      <c r="G244" s="120"/>
      <c r="H244" s="237"/>
      <c r="I244" s="237"/>
      <c r="J244" s="237"/>
      <c r="K244" s="237"/>
      <c r="L244" s="237"/>
      <c r="M244" s="237"/>
      <c r="N244" s="237"/>
      <c r="O244" s="219">
        <f>AA244</f>
        <v>12</v>
      </c>
      <c r="P244" s="120"/>
      <c r="Q244" s="96">
        <f>AC244+I244+J244+K244+L244+M244+N244+O244</f>
        <v>12</v>
      </c>
      <c r="R244" s="97">
        <f>IF(C244=2017, Q244/3,Q244)+P244</f>
        <v>12</v>
      </c>
      <c r="S244" s="238"/>
      <c r="T244" s="238"/>
      <c r="U244" s="237"/>
      <c r="V244" s="237"/>
      <c r="W244" s="237"/>
      <c r="X244" s="237">
        <f>AL244</f>
        <v>12</v>
      </c>
      <c r="Y244" s="120"/>
      <c r="Z244" s="96">
        <f>SUM(U244:X244)</f>
        <v>12</v>
      </c>
      <c r="AA244" s="97">
        <f>IF(C244=2016, Z244/3,Z244)+Y244</f>
        <v>12</v>
      </c>
      <c r="AB244" s="22"/>
      <c r="AC244" s="237"/>
      <c r="AD244" s="237">
        <v>9</v>
      </c>
      <c r="AE244" s="237">
        <f>3</f>
        <v>3</v>
      </c>
      <c r="AF244" s="237"/>
      <c r="AG244" s="237"/>
      <c r="AH244" s="237"/>
      <c r="AI244" s="240"/>
      <c r="AJ244" s="95"/>
      <c r="AK244" s="96">
        <f>SUM(AC244:AI244)</f>
        <v>12</v>
      </c>
      <c r="AL244" s="97">
        <f>IF(C244=2015, AK244/3,AK244)+AJ244</f>
        <v>12</v>
      </c>
    </row>
    <row r="245" spans="1:38" x14ac:dyDescent="0.25">
      <c r="A245" s="11" t="s">
        <v>523</v>
      </c>
      <c r="B245" s="66" t="s">
        <v>300</v>
      </c>
      <c r="C245" s="46">
        <v>2015</v>
      </c>
      <c r="D245" s="1">
        <f>R245+F245+E245</f>
        <v>8</v>
      </c>
      <c r="F245" s="233"/>
      <c r="G245" s="120"/>
      <c r="H245" s="233"/>
      <c r="I245" s="233"/>
      <c r="J245" s="233"/>
      <c r="K245" s="233"/>
      <c r="L245" s="233"/>
      <c r="M245" s="233"/>
      <c r="N245" s="233"/>
      <c r="O245" s="233">
        <f>AA245</f>
        <v>8</v>
      </c>
      <c r="P245" s="120"/>
      <c r="Q245" s="96">
        <f>AC245+I245+J245+K245+L245+M245+N245+O245</f>
        <v>8</v>
      </c>
      <c r="R245" s="97">
        <f>IF(C245=2017, Q245/3,Q245)+P245</f>
        <v>8</v>
      </c>
      <c r="S245" s="238"/>
      <c r="T245" s="238"/>
      <c r="U245" s="233"/>
      <c r="V245" s="233"/>
      <c r="W245" s="233"/>
      <c r="X245" s="233">
        <f>AL245</f>
        <v>8</v>
      </c>
      <c r="Y245" s="120"/>
      <c r="Z245" s="96">
        <f>SUM(U245:X245)</f>
        <v>8</v>
      </c>
      <c r="AA245" s="97">
        <f>IF(C245=2016, Z245/3,Z245)+Y245</f>
        <v>8</v>
      </c>
      <c r="AB245" s="101"/>
      <c r="AC245" s="41"/>
      <c r="AD245" s="41"/>
      <c r="AE245" s="41"/>
      <c r="AF245" s="41">
        <f>24</f>
        <v>24</v>
      </c>
      <c r="AG245" s="41"/>
      <c r="AH245" s="41">
        <f>0</f>
        <v>0</v>
      </c>
      <c r="AI245" s="13"/>
      <c r="AJ245" s="95"/>
      <c r="AK245" s="96">
        <f>SUM(AC245:AI245)</f>
        <v>24</v>
      </c>
      <c r="AL245" s="97">
        <f>IF(C245=2015, AK245/3,AK245)+AJ245</f>
        <v>8</v>
      </c>
    </row>
    <row r="246" spans="1:38" x14ac:dyDescent="0.25">
      <c r="A246" s="11" t="s">
        <v>554</v>
      </c>
      <c r="B246" s="60" t="s">
        <v>479</v>
      </c>
      <c r="C246" s="62">
        <v>2014</v>
      </c>
      <c r="D246" s="1">
        <f>R246+F246+E246</f>
        <v>113</v>
      </c>
      <c r="E246" s="237">
        <f>36+10</f>
        <v>46</v>
      </c>
      <c r="F246" s="237"/>
      <c r="G246" s="154"/>
      <c r="H246" s="237"/>
      <c r="I246" s="237"/>
      <c r="J246" s="237"/>
      <c r="K246" s="237"/>
      <c r="L246" s="237"/>
      <c r="M246" s="237">
        <f>0+2+1</f>
        <v>3</v>
      </c>
      <c r="N246" s="237"/>
      <c r="O246" s="233">
        <f>AA246</f>
        <v>64</v>
      </c>
      <c r="P246" s="154"/>
      <c r="Q246" s="96">
        <f>AC246+I246+J246+K246+L246+M246+N246+O246</f>
        <v>67</v>
      </c>
      <c r="R246" s="97">
        <f>IF(C246=2017, Q246/3,Q246)+P246</f>
        <v>67</v>
      </c>
      <c r="S246" s="238"/>
      <c r="T246" s="238"/>
      <c r="U246" s="237">
        <f>32</f>
        <v>32</v>
      </c>
      <c r="V246" s="237">
        <f>0</f>
        <v>0</v>
      </c>
      <c r="W246" s="237">
        <f>32</f>
        <v>32</v>
      </c>
      <c r="X246" s="237"/>
      <c r="Y246" s="120"/>
      <c r="Z246" s="96">
        <f>SUM(U246:X246)</f>
        <v>64</v>
      </c>
      <c r="AA246" s="97">
        <f>IF(C246=2016, Z246/3,Z246)+Y246</f>
        <v>64</v>
      </c>
      <c r="AB246" s="22"/>
      <c r="AC246" s="237"/>
      <c r="AD246" s="237"/>
      <c r="AE246" s="237"/>
      <c r="AF246" s="237"/>
      <c r="AG246" s="237"/>
      <c r="AH246" s="237"/>
      <c r="AI246" s="240"/>
      <c r="AJ246" s="95"/>
      <c r="AK246" s="96">
        <f>SUM(AC246:AI246)</f>
        <v>0</v>
      </c>
      <c r="AL246" s="97">
        <f>IF(C246=2015, AK246/3,AK246)+AJ246</f>
        <v>0</v>
      </c>
    </row>
    <row r="247" spans="1:38" x14ac:dyDescent="0.25">
      <c r="A247" s="11" t="s">
        <v>302</v>
      </c>
      <c r="B247" s="60" t="s">
        <v>63</v>
      </c>
      <c r="C247" s="62">
        <v>2014</v>
      </c>
      <c r="D247" s="1">
        <f>R247+F247+E247</f>
        <v>51</v>
      </c>
      <c r="E247" s="237"/>
      <c r="F247" s="237"/>
      <c r="G247" s="120"/>
      <c r="H247" s="237"/>
      <c r="I247" s="237"/>
      <c r="J247" s="237"/>
      <c r="K247" s="237"/>
      <c r="L247" s="237"/>
      <c r="M247" s="237"/>
      <c r="N247" s="237"/>
      <c r="O247" s="233">
        <f>AA247</f>
        <v>51</v>
      </c>
      <c r="P247" s="120"/>
      <c r="Q247" s="96">
        <f>AC247+I247+J247+K247+L247+M247+N247+O247</f>
        <v>51</v>
      </c>
      <c r="R247" s="97">
        <f>IF(C247=2017, Q247/3,Q247)+P247</f>
        <v>51</v>
      </c>
      <c r="S247" s="238"/>
      <c r="T247" s="238"/>
      <c r="U247" s="233"/>
      <c r="V247" s="233"/>
      <c r="W247" s="233"/>
      <c r="X247" s="233">
        <f>AL247</f>
        <v>51</v>
      </c>
      <c r="Y247" s="120"/>
      <c r="Z247" s="96">
        <f>SUM(U247:X247)</f>
        <v>51</v>
      </c>
      <c r="AA247" s="97">
        <f>IF(C247=2016, Z247/3,Z247)+Y247</f>
        <v>51</v>
      </c>
      <c r="AB247" s="22"/>
      <c r="AC247" s="237"/>
      <c r="AD247" s="237"/>
      <c r="AE247" s="237"/>
      <c r="AF247" s="237">
        <f>51</f>
        <v>51</v>
      </c>
      <c r="AG247" s="237"/>
      <c r="AH247" s="237"/>
      <c r="AI247" s="240"/>
      <c r="AJ247" s="95"/>
      <c r="AK247" s="96">
        <f>SUM(AC247:AI247)</f>
        <v>51</v>
      </c>
      <c r="AL247" s="97">
        <f>IF(C247=2015, AK247/3,AK247)+AJ247</f>
        <v>51</v>
      </c>
    </row>
    <row r="248" spans="1:38" x14ac:dyDescent="0.25">
      <c r="A248" s="11" t="s">
        <v>433</v>
      </c>
      <c r="B248" s="66" t="s">
        <v>63</v>
      </c>
      <c r="C248" s="46">
        <v>2016</v>
      </c>
      <c r="D248" s="1">
        <f>R248+F248+E248</f>
        <v>257</v>
      </c>
      <c r="E248" s="156"/>
      <c r="F248" s="156"/>
      <c r="G248" s="122"/>
      <c r="H248" s="156"/>
      <c r="I248" s="156">
        <f>20</f>
        <v>20</v>
      </c>
      <c r="J248" s="156">
        <f>50</f>
        <v>50</v>
      </c>
      <c r="K248" s="156">
        <f>0</f>
        <v>0</v>
      </c>
      <c r="L248" s="156">
        <f>46+7+4</f>
        <v>57</v>
      </c>
      <c r="M248" s="156">
        <f>86+4</f>
        <v>90</v>
      </c>
      <c r="N248" s="156">
        <f>16</f>
        <v>16</v>
      </c>
      <c r="O248" s="219">
        <f>AA248</f>
        <v>24</v>
      </c>
      <c r="P248" s="122"/>
      <c r="Q248" s="96">
        <f>AC248+I248+J248+K248+L248+M248+N248+O248</f>
        <v>257</v>
      </c>
      <c r="R248" s="97">
        <f>IF(C248=2017, Q248/3,Q248)+P248</f>
        <v>257</v>
      </c>
      <c r="S248" s="238"/>
      <c r="T248" s="238"/>
      <c r="U248" s="108">
        <f>33</f>
        <v>33</v>
      </c>
      <c r="V248" s="108">
        <v>27</v>
      </c>
      <c r="W248" s="108">
        <f>12</f>
        <v>12</v>
      </c>
      <c r="X248" s="108">
        <f>AL248</f>
        <v>0</v>
      </c>
      <c r="Y248" s="122"/>
      <c r="Z248" s="96">
        <f>SUM(U248:X248)</f>
        <v>72</v>
      </c>
      <c r="AA248" s="97">
        <f>IF(C248=2016, Z248/3,Z248)+Y248</f>
        <v>24</v>
      </c>
      <c r="AB248" s="101"/>
      <c r="AC248" s="41"/>
      <c r="AD248" s="41"/>
      <c r="AE248" s="41"/>
      <c r="AF248" s="41"/>
      <c r="AG248" s="41">
        <f>0</f>
        <v>0</v>
      </c>
      <c r="AH248" s="41">
        <f>0</f>
        <v>0</v>
      </c>
      <c r="AI248" s="13"/>
      <c r="AK248" s="96">
        <f>SUM(AC248:AI248)</f>
        <v>0</v>
      </c>
      <c r="AL248" s="97">
        <f>IF(C248=2015, AK248/3,AK248)+AJ248</f>
        <v>0</v>
      </c>
    </row>
    <row r="249" spans="1:38" x14ac:dyDescent="0.25">
      <c r="A249" s="11" t="s">
        <v>714</v>
      </c>
      <c r="B249" s="66" t="s">
        <v>63</v>
      </c>
      <c r="C249" s="46">
        <v>2017</v>
      </c>
      <c r="D249" s="1">
        <f>R249+F249+E249</f>
        <v>10</v>
      </c>
      <c r="E249" s="108"/>
      <c r="F249" s="108"/>
      <c r="G249" s="122"/>
      <c r="H249" s="108"/>
      <c r="I249" s="108"/>
      <c r="J249" s="108"/>
      <c r="K249" s="108">
        <f>3</f>
        <v>3</v>
      </c>
      <c r="L249" s="108">
        <f>8+3</f>
        <v>11</v>
      </c>
      <c r="M249" s="108">
        <f>3+1</f>
        <v>4</v>
      </c>
      <c r="N249" s="108">
        <v>12</v>
      </c>
      <c r="O249" s="219">
        <f>AA249</f>
        <v>0</v>
      </c>
      <c r="P249" s="122"/>
      <c r="Q249" s="96">
        <f>AC249+I249+J249+K249+L249+M249+N249+O249</f>
        <v>30</v>
      </c>
      <c r="R249" s="97">
        <f>IF(C249=2017, Q249/3,Q249)+P249</f>
        <v>10</v>
      </c>
      <c r="S249" s="101"/>
      <c r="T249" s="108">
        <f>4</f>
        <v>4</v>
      </c>
      <c r="U249" s="108"/>
      <c r="V249" s="108"/>
      <c r="W249" s="108"/>
      <c r="X249" s="108"/>
      <c r="Y249" s="122"/>
      <c r="Z249" s="96">
        <f>SUM(U249:X249)</f>
        <v>0</v>
      </c>
      <c r="AA249" s="97">
        <f>IF(C249=2016, Z249/3,Z249)+Y249</f>
        <v>0</v>
      </c>
      <c r="AB249" s="101"/>
      <c r="AC249" s="41"/>
      <c r="AD249" s="41"/>
      <c r="AE249" s="41"/>
      <c r="AF249" s="41"/>
      <c r="AG249" s="41"/>
      <c r="AH249" s="41"/>
      <c r="AI249" s="13"/>
    </row>
    <row r="250" spans="1:38" x14ac:dyDescent="0.25">
      <c r="A250" s="11" t="s">
        <v>690</v>
      </c>
      <c r="B250" s="60" t="s">
        <v>64</v>
      </c>
      <c r="C250" s="62">
        <v>2013</v>
      </c>
      <c r="D250" s="1">
        <f>R250+F250+E250</f>
        <v>28</v>
      </c>
      <c r="F250" s="233"/>
      <c r="G250" s="154"/>
      <c r="H250" s="233"/>
      <c r="I250" s="233"/>
      <c r="J250" s="233"/>
      <c r="K250" s="233"/>
      <c r="L250" s="233">
        <f>0+6</f>
        <v>6</v>
      </c>
      <c r="M250" s="233">
        <f>0</f>
        <v>0</v>
      </c>
      <c r="N250" s="233"/>
      <c r="O250" s="233">
        <f>AA250</f>
        <v>22</v>
      </c>
      <c r="P250" s="154"/>
      <c r="Q250" s="96">
        <f>AC250+I250+J250+K250+L250+M250+N250+O250</f>
        <v>28</v>
      </c>
      <c r="R250" s="97">
        <f>IF(C250=2017, Q250/3,Q250)+P250</f>
        <v>28</v>
      </c>
      <c r="S250" s="238"/>
      <c r="T250" s="238"/>
      <c r="U250" s="233">
        <f>22</f>
        <v>22</v>
      </c>
      <c r="V250" s="233"/>
      <c r="W250" s="233"/>
      <c r="X250" s="233"/>
      <c r="Y250" s="120"/>
      <c r="Z250" s="96">
        <f>SUM(U250:X250)</f>
        <v>22</v>
      </c>
      <c r="AA250" s="97">
        <f>IF(C250=2016, Z250/3,Z250)+Y250</f>
        <v>22</v>
      </c>
      <c r="AB250" s="22"/>
      <c r="AC250" s="233"/>
      <c r="AD250" s="233"/>
      <c r="AE250" s="233"/>
      <c r="AF250" s="233"/>
      <c r="AG250" s="233"/>
      <c r="AH250" s="233"/>
      <c r="AJ250" s="95"/>
      <c r="AK250" s="96">
        <f>SUM(AC250:AI250)</f>
        <v>0</v>
      </c>
      <c r="AL250" s="97">
        <f>IF(C250=2015, AK250/3,AK250)+AJ250</f>
        <v>0</v>
      </c>
    </row>
    <row r="251" spans="1:38" x14ac:dyDescent="0.25">
      <c r="A251" s="11" t="s">
        <v>467</v>
      </c>
      <c r="B251" s="66" t="s">
        <v>273</v>
      </c>
      <c r="C251" s="46">
        <v>2016</v>
      </c>
      <c r="D251" s="1">
        <f>R251+F251+E251</f>
        <v>1</v>
      </c>
      <c r="E251" s="156"/>
      <c r="F251" s="156"/>
      <c r="G251" s="122"/>
      <c r="H251" s="156"/>
      <c r="I251" s="156"/>
      <c r="J251" s="156"/>
      <c r="K251" s="156"/>
      <c r="L251" s="156"/>
      <c r="M251" s="156"/>
      <c r="N251" s="156"/>
      <c r="O251" s="219">
        <f>AA251</f>
        <v>1</v>
      </c>
      <c r="P251" s="122"/>
      <c r="Q251" s="96">
        <f>AC251+I251+J251+K251+L251+M251+N251+O251</f>
        <v>1</v>
      </c>
      <c r="R251" s="97">
        <f>IF(C251=2017, Q251/3,Q251)+P251</f>
        <v>1</v>
      </c>
      <c r="S251" s="238"/>
      <c r="T251" s="238"/>
      <c r="U251" s="108"/>
      <c r="V251" s="108"/>
      <c r="W251" s="108"/>
      <c r="X251" s="108">
        <f>AL251</f>
        <v>3</v>
      </c>
      <c r="Y251" s="122"/>
      <c r="Z251" s="96">
        <f>SUM(U251:X251)</f>
        <v>3</v>
      </c>
      <c r="AA251" s="97">
        <f>IF(C251=2016, Z251/3,Z251)+Y251</f>
        <v>1</v>
      </c>
      <c r="AB251" s="101"/>
      <c r="AC251" s="41"/>
      <c r="AD251" s="41"/>
      <c r="AE251" s="41"/>
      <c r="AF251" s="41"/>
      <c r="AG251" s="41"/>
      <c r="AH251" s="41">
        <f>3</f>
        <v>3</v>
      </c>
      <c r="AI251" s="13"/>
      <c r="AK251" s="96">
        <f>SUM(AC251:AI251)</f>
        <v>3</v>
      </c>
      <c r="AL251" s="97">
        <f>IF(C251=2015, AK251/3,AK251)+AJ251</f>
        <v>3</v>
      </c>
    </row>
    <row r="252" spans="1:38" x14ac:dyDescent="0.25">
      <c r="A252" s="11" t="s">
        <v>400</v>
      </c>
      <c r="B252" s="60" t="s">
        <v>86</v>
      </c>
      <c r="C252" s="62">
        <v>2013</v>
      </c>
      <c r="D252" s="1">
        <f>R252+F252+E252</f>
        <v>182</v>
      </c>
      <c r="G252" s="120"/>
      <c r="I252" s="205">
        <f>31+6</f>
        <v>37</v>
      </c>
      <c r="L252" s="170">
        <f>28</f>
        <v>28</v>
      </c>
      <c r="M252" s="50">
        <f>0</f>
        <v>0</v>
      </c>
      <c r="N252" s="50">
        <f>28</f>
        <v>28</v>
      </c>
      <c r="O252" s="219">
        <f>AA252</f>
        <v>89</v>
      </c>
      <c r="P252" s="120"/>
      <c r="Q252" s="96">
        <f>AC252+I252+J252+K252+L252+M252+N252+O252</f>
        <v>182</v>
      </c>
      <c r="R252" s="97">
        <f>IF(C252=2017, Q252/3,Q252)+P252</f>
        <v>182</v>
      </c>
      <c r="S252" s="238"/>
      <c r="T252" s="238"/>
      <c r="U252" s="50">
        <f>22</f>
        <v>22</v>
      </c>
      <c r="V252" s="50">
        <f>25</f>
        <v>25</v>
      </c>
      <c r="W252" s="50">
        <f>13</f>
        <v>13</v>
      </c>
      <c r="X252" s="50">
        <f>AL252</f>
        <v>29</v>
      </c>
      <c r="Y252" s="120"/>
      <c r="Z252" s="96">
        <f>SUM(U252:X252)</f>
        <v>89</v>
      </c>
      <c r="AA252" s="97">
        <f>IF(C252=2016, Z252/3,Z252)+Y252</f>
        <v>89</v>
      </c>
      <c r="AB252" s="22"/>
      <c r="AC252" s="196"/>
      <c r="AD252" s="196"/>
      <c r="AE252" s="196"/>
      <c r="AF252" s="196"/>
      <c r="AG252" s="196">
        <f>29</f>
        <v>29</v>
      </c>
      <c r="AH252" s="196">
        <f>0</f>
        <v>0</v>
      </c>
      <c r="AJ252" s="95"/>
      <c r="AK252" s="96">
        <f>SUM(AC252:AI252)</f>
        <v>29</v>
      </c>
      <c r="AL252" s="97">
        <f>IF(C252=2015, AK252/3,AK252)+AJ252</f>
        <v>29</v>
      </c>
    </row>
    <row r="253" spans="1:38" x14ac:dyDescent="0.25">
      <c r="A253" s="11" t="s">
        <v>409</v>
      </c>
      <c r="B253" s="60" t="s">
        <v>63</v>
      </c>
      <c r="C253" s="62">
        <v>2014</v>
      </c>
      <c r="D253" s="1">
        <f>R253+F253+E253</f>
        <v>10</v>
      </c>
      <c r="G253" s="120"/>
      <c r="M253" s="170"/>
      <c r="N253" s="170"/>
      <c r="O253" s="219">
        <f>AA253</f>
        <v>10</v>
      </c>
      <c r="P253" s="120"/>
      <c r="Q253" s="96">
        <f>AC253+I253+J253+K253+L253+M253+N253+O253</f>
        <v>10</v>
      </c>
      <c r="R253" s="97">
        <f>IF(C253=2017, Q253/3,Q253)+P253</f>
        <v>10</v>
      </c>
      <c r="S253" s="209"/>
      <c r="T253" s="209"/>
      <c r="U253" s="170"/>
      <c r="V253" s="170"/>
      <c r="W253" s="170"/>
      <c r="X253" s="170">
        <f>AL253</f>
        <v>10</v>
      </c>
      <c r="Y253" s="120"/>
      <c r="Z253" s="96">
        <f>SUM(U253:X253)</f>
        <v>10</v>
      </c>
      <c r="AA253" s="97">
        <f>IF(C253=2016, Z253/3,Z253)+Y253</f>
        <v>10</v>
      </c>
      <c r="AB253" s="22"/>
      <c r="AC253" s="237"/>
      <c r="AD253" s="237"/>
      <c r="AE253" s="237"/>
      <c r="AF253" s="237"/>
      <c r="AG253" s="237">
        <f>10</f>
        <v>10</v>
      </c>
      <c r="AH253" s="237"/>
      <c r="AI253" s="240"/>
      <c r="AJ253" s="95"/>
      <c r="AK253" s="96">
        <f>SUM(AC253:AI253)</f>
        <v>10</v>
      </c>
      <c r="AL253" s="97">
        <f>IF(C253=2015, AK253/3,AK253)+AJ253</f>
        <v>10</v>
      </c>
    </row>
    <row r="254" spans="1:38" x14ac:dyDescent="0.25">
      <c r="A254" s="11" t="s">
        <v>691</v>
      </c>
      <c r="B254" s="11" t="s">
        <v>0</v>
      </c>
      <c r="C254" s="3">
        <v>2013</v>
      </c>
      <c r="D254" s="1">
        <f>R254+F254+E254</f>
        <v>91</v>
      </c>
      <c r="E254" s="233">
        <f>18</f>
        <v>18</v>
      </c>
      <c r="G254" s="154"/>
      <c r="I254" s="205">
        <f>30</f>
        <v>30</v>
      </c>
      <c r="J254" s="196">
        <f>0</f>
        <v>0</v>
      </c>
      <c r="L254" s="170">
        <f>23</f>
        <v>23</v>
      </c>
      <c r="M254" s="170"/>
      <c r="N254" s="170"/>
      <c r="O254" s="219">
        <f>AA254</f>
        <v>20</v>
      </c>
      <c r="P254" s="154"/>
      <c r="Q254" s="96">
        <f>AC254+I254+J254+K254+L254+M254+N254+O254</f>
        <v>73</v>
      </c>
      <c r="R254" s="97">
        <f>IF(C254=2017, Q254/3,Q254)+P254</f>
        <v>73</v>
      </c>
      <c r="S254" s="209"/>
      <c r="T254" s="209"/>
      <c r="U254" s="170">
        <f>20</f>
        <v>20</v>
      </c>
      <c r="V254" s="170"/>
      <c r="W254" s="170"/>
      <c r="X254" s="170"/>
      <c r="Y254" s="237"/>
      <c r="Z254" s="96">
        <f>SUM(U254:X254)</f>
        <v>20</v>
      </c>
      <c r="AA254" s="97">
        <f>IF(C254=2016, Z254/3,Z254)+Y254</f>
        <v>20</v>
      </c>
      <c r="AB254" s="240"/>
      <c r="AC254" s="237"/>
      <c r="AD254" s="237"/>
      <c r="AE254" s="237"/>
      <c r="AF254" s="237"/>
      <c r="AG254" s="237"/>
      <c r="AH254" s="237"/>
      <c r="AI254" s="240"/>
      <c r="AK254" s="96">
        <f>SUM(AC254:AI254)</f>
        <v>0</v>
      </c>
      <c r="AL254" s="97">
        <f>IF(C254=2015, AK254/3,AK254)+AJ254</f>
        <v>0</v>
      </c>
    </row>
    <row r="255" spans="1:38" x14ac:dyDescent="0.25">
      <c r="A255" s="11" t="s">
        <v>905</v>
      </c>
      <c r="B255" s="11" t="s">
        <v>63</v>
      </c>
      <c r="C255" s="3">
        <v>2014</v>
      </c>
      <c r="D255" s="1">
        <f>R255+F255+E255</f>
        <v>67</v>
      </c>
      <c r="G255" s="237"/>
      <c r="I255" s="205">
        <f>26</f>
        <v>26</v>
      </c>
      <c r="J255" s="196">
        <f>23</f>
        <v>23</v>
      </c>
      <c r="K255" s="186">
        <f>18</f>
        <v>18</v>
      </c>
      <c r="L255" s="170">
        <f>0</f>
        <v>0</v>
      </c>
      <c r="O255" s="219">
        <f>AA255</f>
        <v>0</v>
      </c>
      <c r="P255" s="237"/>
      <c r="Q255" s="96">
        <f>AC255+I255+J255+K255+L255+M255+N255+O255</f>
        <v>67</v>
      </c>
      <c r="R255" s="97">
        <f>IF(C255=2017, Q255/3,Q255)+P255</f>
        <v>67</v>
      </c>
      <c r="Y255" s="237"/>
      <c r="Z255" s="96">
        <f>SUM(U255:X255)</f>
        <v>0</v>
      </c>
      <c r="AA255" s="97">
        <f>IF(C255=2016, Z255/3,Z255)+Y255</f>
        <v>0</v>
      </c>
      <c r="AB255" s="240"/>
      <c r="AC255" s="196"/>
      <c r="AD255" s="196"/>
      <c r="AE255" s="196"/>
      <c r="AF255" s="196"/>
      <c r="AG255" s="196"/>
      <c r="AH255" s="196"/>
    </row>
    <row r="256" spans="1:38" x14ac:dyDescent="0.25">
      <c r="A256" s="11" t="s">
        <v>474</v>
      </c>
      <c r="B256" s="60" t="s">
        <v>7</v>
      </c>
      <c r="C256" s="62">
        <v>2014</v>
      </c>
      <c r="D256" s="1">
        <f>R256+F256+E256</f>
        <v>36</v>
      </c>
      <c r="G256" s="120"/>
      <c r="J256" s="205"/>
      <c r="K256" s="205"/>
      <c r="L256" s="205"/>
      <c r="M256" s="205"/>
      <c r="N256" s="205"/>
      <c r="O256" s="219">
        <f>AA256</f>
        <v>36</v>
      </c>
      <c r="P256" s="120"/>
      <c r="Q256" s="96">
        <f>AC256+I256+J256+K256+L256+M256+N256+O256</f>
        <v>36</v>
      </c>
      <c r="R256" s="97">
        <f>IF(C256=2017, Q256/3,Q256)+P256</f>
        <v>36</v>
      </c>
      <c r="S256" s="238"/>
      <c r="T256" s="238"/>
      <c r="U256" s="205">
        <f>0</f>
        <v>0</v>
      </c>
      <c r="V256" s="205">
        <f>13</f>
        <v>13</v>
      </c>
      <c r="W256" s="205"/>
      <c r="X256" s="205">
        <f>AL256</f>
        <v>23</v>
      </c>
      <c r="Y256" s="120"/>
      <c r="Z256" s="96">
        <f>SUM(U256:X256)</f>
        <v>36</v>
      </c>
      <c r="AA256" s="97">
        <f>IF(C256=2016, Z256/3,Z256)+Y256</f>
        <v>36</v>
      </c>
      <c r="AB256" s="22"/>
      <c r="AC256" s="41"/>
      <c r="AD256" s="41"/>
      <c r="AE256" s="41"/>
      <c r="AF256" s="41"/>
      <c r="AG256" s="41"/>
      <c r="AH256" s="41">
        <f>23</f>
        <v>23</v>
      </c>
      <c r="AI256" s="13"/>
      <c r="AJ256" s="95"/>
      <c r="AK256" s="96">
        <f>SUM(AC256:AI256)</f>
        <v>23</v>
      </c>
      <c r="AL256" s="97">
        <f>IF(C256=2015, AK256/3,AK256)+AJ256</f>
        <v>23</v>
      </c>
    </row>
    <row r="257" spans="1:38" x14ac:dyDescent="0.25">
      <c r="A257" s="11" t="s">
        <v>906</v>
      </c>
      <c r="B257" s="60" t="s">
        <v>297</v>
      </c>
      <c r="C257" s="62">
        <v>2013</v>
      </c>
      <c r="D257" s="1">
        <f>R257+F257+E257</f>
        <v>0</v>
      </c>
      <c r="G257" s="154"/>
      <c r="L257" s="170">
        <f>0</f>
        <v>0</v>
      </c>
      <c r="O257" s="219">
        <f>AA257</f>
        <v>0</v>
      </c>
      <c r="P257" s="154"/>
      <c r="Q257" s="96">
        <f>AC257+I257+J257+K257+L257+M257+N257+O257</f>
        <v>0</v>
      </c>
      <c r="R257" s="97">
        <f>IF(C257=2017, Q257/3,Q257)+P257</f>
        <v>0</v>
      </c>
      <c r="Y257" s="120"/>
      <c r="Z257" s="96">
        <f>SUM(U257:X257)</f>
        <v>0</v>
      </c>
      <c r="AA257" s="97">
        <f>IF(C257=2016, Z257/3,Z257)+Y257</f>
        <v>0</v>
      </c>
      <c r="AB257" s="22"/>
      <c r="AJ257" s="95"/>
      <c r="AK257" s="96"/>
      <c r="AL257" s="97"/>
    </row>
    <row r="258" spans="1:38" x14ac:dyDescent="0.25">
      <c r="A258" s="11" t="s">
        <v>609</v>
      </c>
      <c r="B258" s="60" t="s">
        <v>297</v>
      </c>
      <c r="C258" s="62"/>
      <c r="D258" s="1">
        <f>R258+F258+E258</f>
        <v>34</v>
      </c>
      <c r="G258" s="154"/>
      <c r="O258" s="219">
        <f>AA258</f>
        <v>34</v>
      </c>
      <c r="P258" s="154"/>
      <c r="Q258" s="96">
        <f>AC258+I258+J258+K258+L258+M258+N258+O258</f>
        <v>34</v>
      </c>
      <c r="R258" s="97">
        <f>IF(C258=2017, Q258/3,Q258)+P258</f>
        <v>34</v>
      </c>
      <c r="S258" s="238"/>
      <c r="T258" s="238"/>
      <c r="V258" s="50">
        <f>34</f>
        <v>34</v>
      </c>
      <c r="Y258" s="120"/>
      <c r="Z258" s="96">
        <f>SUM(U258:X258)</f>
        <v>34</v>
      </c>
      <c r="AA258" s="97">
        <f>IF(C258=2016, Z258/3,Z258)+Y258</f>
        <v>34</v>
      </c>
      <c r="AB258" s="22"/>
      <c r="AC258" s="153"/>
      <c r="AD258" s="153"/>
      <c r="AE258" s="153"/>
      <c r="AF258" s="153"/>
      <c r="AG258" s="153"/>
      <c r="AH258" s="153"/>
      <c r="AI258" s="13"/>
      <c r="AJ258" s="95"/>
      <c r="AK258" s="96">
        <f>SUM(AC258:AI258)</f>
        <v>0</v>
      </c>
      <c r="AL258" s="97">
        <f>IF(C258=2015, AK258/3,AK258)+AJ258</f>
        <v>0</v>
      </c>
    </row>
    <row r="259" spans="1:38" s="17" customFormat="1" x14ac:dyDescent="0.25">
      <c r="A259" s="253" t="s">
        <v>15</v>
      </c>
      <c r="B259" s="254"/>
      <c r="C259" s="255"/>
      <c r="D259" s="1">
        <f t="shared" ref="D199:D259" si="10">R259+F259+E259</f>
        <v>0</v>
      </c>
      <c r="E259" s="233"/>
      <c r="F259" s="219"/>
      <c r="G259" s="219"/>
      <c r="H259" s="219"/>
      <c r="I259" s="205"/>
      <c r="J259" s="196"/>
      <c r="K259" s="186"/>
      <c r="L259" s="170"/>
      <c r="M259" s="50"/>
      <c r="N259" s="50"/>
      <c r="O259" s="219">
        <f t="shared" ref="O259" si="11">AA259</f>
        <v>0</v>
      </c>
      <c r="P259" s="50"/>
      <c r="Q259" s="96">
        <f t="shared" ref="Q259" si="12">AC259+I259+J259+K259+L259+M259+N259+O259</f>
        <v>0</v>
      </c>
      <c r="R259" s="97">
        <f t="shared" ref="R198:R259" si="13">IF(C259=2017, Q259/3,Q259)+P259</f>
        <v>0</v>
      </c>
      <c r="S259" s="209"/>
      <c r="T259" s="209"/>
      <c r="U259" s="50"/>
      <c r="V259" s="50"/>
      <c r="W259" s="50"/>
      <c r="X259" s="50"/>
      <c r="Y259" s="50"/>
      <c r="Z259" s="96">
        <f t="shared" ref="Z259" si="14">SUM(U259:X259)</f>
        <v>0</v>
      </c>
      <c r="AA259" s="97">
        <f t="shared" ref="AA198:AA259" si="15">IF(C259=2016, Z259/3,Z259)+Y259</f>
        <v>0</v>
      </c>
      <c r="AB259" s="22"/>
      <c r="AC259" s="50"/>
      <c r="AD259" s="50"/>
      <c r="AE259" s="50"/>
      <c r="AF259" s="50"/>
      <c r="AG259" s="50"/>
      <c r="AH259" s="50"/>
      <c r="AI259" s="22"/>
      <c r="AJ259" s="68"/>
      <c r="AK259" s="96">
        <f t="shared" ref="AK259" si="16">SUM(AC259:AI259)</f>
        <v>0</v>
      </c>
      <c r="AL259" s="97">
        <f t="shared" ref="AL229:AL259" si="17">IF(C259=2015, AK259/3,AK259)+AJ259</f>
        <v>0</v>
      </c>
    </row>
    <row r="260" spans="1:38" s="17" customFormat="1" x14ac:dyDescent="0.25">
      <c r="A260" s="11" t="s">
        <v>1017</v>
      </c>
      <c r="B260" s="60" t="s">
        <v>86</v>
      </c>
      <c r="C260" s="62">
        <v>2014</v>
      </c>
      <c r="D260" s="1">
        <f t="shared" ref="D260:D287" si="18">R260+F260+E260</f>
        <v>2</v>
      </c>
      <c r="E260" s="233"/>
      <c r="F260" s="219"/>
      <c r="G260" s="154"/>
      <c r="H260" s="219"/>
      <c r="I260" s="205">
        <f>0+2</f>
        <v>2</v>
      </c>
      <c r="J260" s="205"/>
      <c r="K260" s="205"/>
      <c r="L260" s="205"/>
      <c r="M260" s="205"/>
      <c r="N260" s="205"/>
      <c r="O260" s="219">
        <f>AA260</f>
        <v>0</v>
      </c>
      <c r="P260" s="154"/>
      <c r="Q260" s="96">
        <f>AC260+I260+J260+K260+L260+M260+N260+O260</f>
        <v>2</v>
      </c>
      <c r="R260" s="97">
        <f>IF(C260=2017, Q260/3,Q260)+P260</f>
        <v>2</v>
      </c>
      <c r="S260" s="209"/>
      <c r="T260" s="209"/>
      <c r="U260" s="205"/>
      <c r="V260" s="205"/>
      <c r="W260" s="205"/>
      <c r="X260" s="205"/>
      <c r="Y260" s="120"/>
      <c r="Z260" s="96">
        <f>SUM(U260:X260)</f>
        <v>0</v>
      </c>
      <c r="AA260" s="97">
        <f>IF(C260=2016, Z260/3,Z260)+Y260</f>
        <v>0</v>
      </c>
      <c r="AB260" s="22"/>
      <c r="AC260" s="205"/>
      <c r="AD260" s="205"/>
      <c r="AE260" s="205"/>
      <c r="AF260" s="205"/>
      <c r="AG260" s="205"/>
      <c r="AH260" s="205"/>
      <c r="AI260" s="22"/>
      <c r="AJ260" s="68"/>
      <c r="AK260" s="96"/>
      <c r="AL260" s="97"/>
    </row>
    <row r="261" spans="1:38" s="17" customFormat="1" x14ac:dyDescent="0.25">
      <c r="A261" s="11" t="s">
        <v>1072</v>
      </c>
      <c r="B261" s="60" t="s">
        <v>7</v>
      </c>
      <c r="C261" s="62"/>
      <c r="D261" s="1">
        <f t="shared" si="18"/>
        <v>8</v>
      </c>
      <c r="E261" s="233"/>
      <c r="F261" s="219"/>
      <c r="G261" s="154"/>
      <c r="H261" s="219"/>
      <c r="I261" s="205">
        <f>8</f>
        <v>8</v>
      </c>
      <c r="J261" s="196"/>
      <c r="K261" s="196"/>
      <c r="L261" s="196"/>
      <c r="M261" s="196"/>
      <c r="N261" s="196"/>
      <c r="O261" s="219">
        <f>AA261</f>
        <v>0</v>
      </c>
      <c r="P261" s="154"/>
      <c r="Q261" s="96">
        <f>AC261+I261+J261+K261+L261+M261+N261+O261</f>
        <v>8</v>
      </c>
      <c r="R261" s="97">
        <f>IF(C261=2017, Q261/3,Q261)+P261</f>
        <v>8</v>
      </c>
      <c r="S261" s="209"/>
      <c r="T261" s="209"/>
      <c r="U261" s="196"/>
      <c r="V261" s="196"/>
      <c r="W261" s="196"/>
      <c r="X261" s="196"/>
      <c r="Y261" s="120"/>
      <c r="Z261" s="96">
        <f>SUM(U261:X261)</f>
        <v>0</v>
      </c>
      <c r="AA261" s="97">
        <f>IF(C261=2016, Z261/3,Z261)+Y261</f>
        <v>0</v>
      </c>
      <c r="AB261" s="22"/>
      <c r="AC261" s="196"/>
      <c r="AD261" s="196"/>
      <c r="AE261" s="196"/>
      <c r="AF261" s="196"/>
      <c r="AG261" s="196"/>
      <c r="AH261" s="196"/>
      <c r="AI261" s="22"/>
      <c r="AJ261" s="68"/>
      <c r="AK261" s="96"/>
      <c r="AL261" s="97"/>
    </row>
    <row r="262" spans="1:38" s="17" customFormat="1" x14ac:dyDescent="0.25">
      <c r="A262" s="11" t="s">
        <v>972</v>
      </c>
      <c r="B262" s="60" t="s">
        <v>64</v>
      </c>
      <c r="C262" s="62">
        <v>2015</v>
      </c>
      <c r="D262" s="1">
        <f t="shared" si="18"/>
        <v>57</v>
      </c>
      <c r="E262" s="233">
        <f>35</f>
        <v>35</v>
      </c>
      <c r="F262" s="219"/>
      <c r="G262" s="154"/>
      <c r="H262" s="219"/>
      <c r="I262" s="205"/>
      <c r="J262" s="205">
        <f>22</f>
        <v>22</v>
      </c>
      <c r="K262" s="205"/>
      <c r="L262" s="205"/>
      <c r="M262" s="205"/>
      <c r="N262" s="205"/>
      <c r="O262" s="219">
        <f>AA262</f>
        <v>0</v>
      </c>
      <c r="P262" s="154"/>
      <c r="Q262" s="96">
        <f>AC262+I262+J262+K262+L262+M262+N262+O262</f>
        <v>22</v>
      </c>
      <c r="R262" s="97">
        <f>IF(C262=2017, Q262/3,Q262)+P262</f>
        <v>22</v>
      </c>
      <c r="S262" s="209"/>
      <c r="T262" s="209"/>
      <c r="U262" s="205"/>
      <c r="V262" s="205"/>
      <c r="W262" s="205"/>
      <c r="X262" s="205"/>
      <c r="Y262" s="120"/>
      <c r="Z262" s="96">
        <f>SUM(U262:X262)</f>
        <v>0</v>
      </c>
      <c r="AA262" s="97">
        <f>IF(C262=2016, Z262/3,Z262)+Y262</f>
        <v>0</v>
      </c>
      <c r="AB262" s="22"/>
      <c r="AC262" s="205"/>
      <c r="AD262" s="205"/>
      <c r="AE262" s="205"/>
      <c r="AF262" s="205"/>
      <c r="AG262" s="205"/>
      <c r="AH262" s="205"/>
      <c r="AI262" s="22"/>
      <c r="AJ262" s="68"/>
      <c r="AK262" s="96"/>
      <c r="AL262" s="97"/>
    </row>
    <row r="263" spans="1:38" s="17" customFormat="1" x14ac:dyDescent="0.25">
      <c r="A263" s="11" t="s">
        <v>1146</v>
      </c>
      <c r="B263" s="60" t="s">
        <v>86</v>
      </c>
      <c r="C263" s="62">
        <v>2016</v>
      </c>
      <c r="D263" s="1">
        <f t="shared" si="18"/>
        <v>9</v>
      </c>
      <c r="E263" s="233">
        <f>9</f>
        <v>9</v>
      </c>
      <c r="F263" s="233"/>
      <c r="G263" s="154"/>
      <c r="H263" s="233"/>
      <c r="I263" s="233"/>
      <c r="J263" s="233"/>
      <c r="K263" s="233"/>
      <c r="L263" s="233"/>
      <c r="M263" s="233"/>
      <c r="N263" s="233"/>
      <c r="O263" s="233"/>
      <c r="P263" s="154"/>
      <c r="Q263" s="96"/>
      <c r="R263" s="97"/>
      <c r="S263" s="235"/>
      <c r="T263" s="235"/>
      <c r="U263" s="233"/>
      <c r="V263" s="233"/>
      <c r="W263" s="233"/>
      <c r="X263" s="233"/>
      <c r="Y263" s="120"/>
      <c r="Z263" s="96"/>
      <c r="AA263" s="97"/>
      <c r="AB263" s="22"/>
      <c r="AC263" s="233"/>
      <c r="AD263" s="233"/>
      <c r="AE263" s="233"/>
      <c r="AF263" s="233"/>
      <c r="AG263" s="233"/>
      <c r="AH263" s="233"/>
      <c r="AI263" s="22"/>
      <c r="AJ263" s="68"/>
      <c r="AK263" s="96"/>
      <c r="AL263" s="97"/>
    </row>
    <row r="264" spans="1:38" s="17" customFormat="1" x14ac:dyDescent="0.25">
      <c r="A264" s="11" t="s">
        <v>999</v>
      </c>
      <c r="B264" s="60" t="s">
        <v>86</v>
      </c>
      <c r="C264" s="62">
        <v>2015</v>
      </c>
      <c r="D264" s="1">
        <f t="shared" si="18"/>
        <v>84</v>
      </c>
      <c r="E264" s="233">
        <f>32+12</f>
        <v>44</v>
      </c>
      <c r="F264" s="219"/>
      <c r="G264" s="154"/>
      <c r="H264" s="219"/>
      <c r="I264" s="205">
        <f>31+9</f>
        <v>40</v>
      </c>
      <c r="J264" s="205"/>
      <c r="K264" s="205"/>
      <c r="L264" s="205"/>
      <c r="M264" s="205"/>
      <c r="N264" s="205"/>
      <c r="O264" s="219">
        <f>AA264</f>
        <v>0</v>
      </c>
      <c r="P264" s="154"/>
      <c r="Q264" s="96">
        <f>AC264+I264+J264+K264+L264+M264+N264+O264</f>
        <v>40</v>
      </c>
      <c r="R264" s="97">
        <f>IF(C264=2017, Q264/3,Q264)+P264</f>
        <v>40</v>
      </c>
      <c r="S264" s="209"/>
      <c r="T264" s="209"/>
      <c r="U264" s="205"/>
      <c r="V264" s="205"/>
      <c r="W264" s="205"/>
      <c r="X264" s="205"/>
      <c r="Y264" s="120"/>
      <c r="Z264" s="96">
        <f>SUM(U264:X264)</f>
        <v>0</v>
      </c>
      <c r="AA264" s="97">
        <f>IF(C264=2016, Z264/3,Z264)+Y264</f>
        <v>0</v>
      </c>
      <c r="AB264" s="22"/>
      <c r="AC264" s="205"/>
      <c r="AD264" s="205"/>
      <c r="AE264" s="205"/>
      <c r="AF264" s="205"/>
      <c r="AG264" s="205"/>
      <c r="AH264" s="205"/>
      <c r="AI264" s="22"/>
      <c r="AJ264" s="68"/>
      <c r="AK264" s="96"/>
      <c r="AL264" s="97"/>
    </row>
    <row r="265" spans="1:38" x14ac:dyDescent="0.25">
      <c r="A265" s="11" t="s">
        <v>960</v>
      </c>
      <c r="B265" s="60" t="s">
        <v>948</v>
      </c>
      <c r="C265" s="62">
        <v>2016</v>
      </c>
      <c r="D265" s="1">
        <f t="shared" si="18"/>
        <v>0</v>
      </c>
      <c r="G265" s="154"/>
      <c r="J265" s="196">
        <f>0</f>
        <v>0</v>
      </c>
      <c r="K265" s="196"/>
      <c r="L265" s="196"/>
      <c r="M265" s="196"/>
      <c r="N265" s="196"/>
      <c r="O265" s="219">
        <f>AA265</f>
        <v>0</v>
      </c>
      <c r="P265" s="154"/>
      <c r="Q265" s="96">
        <f>AC265+I265+J265+K265+L265+M265+N265+O265</f>
        <v>0</v>
      </c>
      <c r="R265" s="97">
        <f>IF(C265=2017, Q265/3,Q265)+P265</f>
        <v>0</v>
      </c>
      <c r="S265" s="209"/>
      <c r="T265" s="209"/>
      <c r="U265" s="196"/>
      <c r="V265" s="196"/>
      <c r="W265" s="196"/>
      <c r="X265" s="196"/>
      <c r="Y265" s="120"/>
      <c r="Z265" s="96">
        <f>SUM(U265:X265)</f>
        <v>0</v>
      </c>
      <c r="AA265" s="97">
        <f>IF(C265=2016, Z265/3,Z265)+Y265</f>
        <v>0</v>
      </c>
      <c r="AB265" s="22"/>
      <c r="AC265" s="153"/>
      <c r="AD265" s="153"/>
      <c r="AE265" s="153"/>
      <c r="AF265" s="153"/>
      <c r="AG265" s="153"/>
      <c r="AH265" s="153"/>
      <c r="AI265" s="13"/>
      <c r="AJ265" s="95"/>
      <c r="AK265" s="96"/>
      <c r="AL265" s="97"/>
    </row>
    <row r="266" spans="1:38" x14ac:dyDescent="0.25">
      <c r="A266" s="11" t="s">
        <v>1123</v>
      </c>
      <c r="B266" s="60" t="s">
        <v>86</v>
      </c>
      <c r="C266" s="62">
        <v>2014</v>
      </c>
      <c r="D266" s="1">
        <f t="shared" si="18"/>
        <v>0</v>
      </c>
      <c r="E266" s="233">
        <f>0</f>
        <v>0</v>
      </c>
      <c r="F266" s="233"/>
      <c r="G266" s="154"/>
      <c r="H266" s="233"/>
      <c r="I266" s="233"/>
      <c r="J266" s="233"/>
      <c r="K266" s="233"/>
      <c r="L266" s="233"/>
      <c r="M266" s="233"/>
      <c r="N266" s="233"/>
      <c r="O266" s="233"/>
      <c r="P266" s="154"/>
      <c r="Q266" s="96"/>
      <c r="R266" s="97"/>
      <c r="S266" s="235"/>
      <c r="T266" s="235"/>
      <c r="U266" s="233"/>
      <c r="V266" s="233"/>
      <c r="W266" s="233"/>
      <c r="X266" s="233"/>
      <c r="Y266" s="120"/>
      <c r="Z266" s="96"/>
      <c r="AA266" s="97"/>
      <c r="AB266" s="22"/>
      <c r="AC266" s="153"/>
      <c r="AD266" s="153"/>
      <c r="AE266" s="153"/>
      <c r="AF266" s="153"/>
      <c r="AG266" s="153"/>
      <c r="AH266" s="153"/>
      <c r="AI266" s="13"/>
      <c r="AJ266" s="95"/>
      <c r="AK266" s="96"/>
      <c r="AL266" s="97"/>
    </row>
    <row r="267" spans="1:38" x14ac:dyDescent="0.25">
      <c r="A267" s="11" t="s">
        <v>1018</v>
      </c>
      <c r="B267" s="60" t="s">
        <v>86</v>
      </c>
      <c r="C267" s="62">
        <v>2013</v>
      </c>
      <c r="D267" s="1">
        <f t="shared" si="18"/>
        <v>2</v>
      </c>
      <c r="G267" s="154"/>
      <c r="I267" s="205">
        <f>0+2</f>
        <v>2</v>
      </c>
      <c r="J267" s="205"/>
      <c r="K267" s="205"/>
      <c r="L267" s="205"/>
      <c r="M267" s="205"/>
      <c r="N267" s="205"/>
      <c r="O267" s="219">
        <f>AA267</f>
        <v>0</v>
      </c>
      <c r="P267" s="154"/>
      <c r="Q267" s="96">
        <f>AC267+I267+J267+K267+L267+M267+N267+O267</f>
        <v>2</v>
      </c>
      <c r="R267" s="97">
        <f>IF(C267=2017, Q267/3,Q267)+P267</f>
        <v>2</v>
      </c>
      <c r="S267" s="209"/>
      <c r="T267" s="209"/>
      <c r="U267" s="205"/>
      <c r="V267" s="205"/>
      <c r="W267" s="205"/>
      <c r="X267" s="205"/>
      <c r="Y267" s="120"/>
      <c r="Z267" s="96">
        <f>SUM(U267:X267)</f>
        <v>0</v>
      </c>
      <c r="AA267" s="97">
        <f>IF(C267=2016, Z267/3,Z267)+Y267</f>
        <v>0</v>
      </c>
      <c r="AB267" s="22"/>
      <c r="AC267" s="153"/>
      <c r="AD267" s="153"/>
      <c r="AE267" s="153"/>
      <c r="AF267" s="153"/>
      <c r="AG267" s="153"/>
      <c r="AH267" s="153"/>
      <c r="AI267" s="13"/>
      <c r="AJ267" s="95"/>
      <c r="AK267" s="96"/>
      <c r="AL267" s="97"/>
    </row>
    <row r="268" spans="1:38" x14ac:dyDescent="0.25">
      <c r="A268" s="11" t="s">
        <v>1058</v>
      </c>
      <c r="B268" s="60" t="s">
        <v>86</v>
      </c>
      <c r="C268" s="62">
        <v>2014</v>
      </c>
      <c r="D268" s="1">
        <f t="shared" si="18"/>
        <v>0</v>
      </c>
      <c r="G268" s="154"/>
      <c r="I268" s="205">
        <f>0</f>
        <v>0</v>
      </c>
      <c r="J268" s="205"/>
      <c r="K268" s="205"/>
      <c r="L268" s="205"/>
      <c r="M268" s="205"/>
      <c r="N268" s="205"/>
      <c r="O268" s="219">
        <f>AA268</f>
        <v>0</v>
      </c>
      <c r="P268" s="154"/>
      <c r="Q268" s="96">
        <f>AC268+I268+J268+K268+L268+M268+N268+O268</f>
        <v>0</v>
      </c>
      <c r="R268" s="97">
        <f>IF(C268=2017, Q268/3,Q268)+P268</f>
        <v>0</v>
      </c>
      <c r="S268" s="209"/>
      <c r="T268" s="209"/>
      <c r="U268" s="205"/>
      <c r="V268" s="205"/>
      <c r="W268" s="205"/>
      <c r="X268" s="205"/>
      <c r="Y268" s="120"/>
      <c r="Z268" s="96">
        <f>SUM(U268:X268)</f>
        <v>0</v>
      </c>
      <c r="AA268" s="97">
        <f>IF(C268=2016, Z268/3,Z268)+Y268</f>
        <v>0</v>
      </c>
      <c r="AB268" s="22"/>
      <c r="AC268" s="153"/>
      <c r="AD268" s="153"/>
      <c r="AE268" s="153"/>
      <c r="AF268" s="153"/>
      <c r="AG268" s="153"/>
      <c r="AH268" s="153"/>
      <c r="AI268" s="13"/>
      <c r="AJ268" s="95"/>
      <c r="AK268" s="96"/>
      <c r="AL268" s="97"/>
    </row>
    <row r="269" spans="1:38" x14ac:dyDescent="0.25">
      <c r="A269" s="11" t="s">
        <v>1043</v>
      </c>
      <c r="B269" s="60" t="s">
        <v>86</v>
      </c>
      <c r="C269" s="62">
        <v>2013</v>
      </c>
      <c r="D269" s="1">
        <f t="shared" si="18"/>
        <v>0</v>
      </c>
      <c r="E269" s="233">
        <f>0</f>
        <v>0</v>
      </c>
      <c r="G269" s="154"/>
      <c r="I269" s="205">
        <f>0</f>
        <v>0</v>
      </c>
      <c r="J269" s="205"/>
      <c r="K269" s="205"/>
      <c r="L269" s="205"/>
      <c r="M269" s="205"/>
      <c r="N269" s="205"/>
      <c r="O269" s="219">
        <f>AA269</f>
        <v>0</v>
      </c>
      <c r="P269" s="154"/>
      <c r="Q269" s="96">
        <f>AC269+I269+J269+K269+L269+M269+N269+O269</f>
        <v>0</v>
      </c>
      <c r="R269" s="97">
        <f>IF(C269=2017, Q269/3,Q269)+P269</f>
        <v>0</v>
      </c>
      <c r="S269" s="209"/>
      <c r="T269" s="209"/>
      <c r="U269" s="205"/>
      <c r="V269" s="205"/>
      <c r="W269" s="205"/>
      <c r="X269" s="205"/>
      <c r="Y269" s="120"/>
      <c r="Z269" s="96">
        <f>SUM(U269:X269)</f>
        <v>0</v>
      </c>
      <c r="AA269" s="97">
        <f>IF(C269=2016, Z269/3,Z269)+Y269</f>
        <v>0</v>
      </c>
      <c r="AB269" s="22"/>
      <c r="AC269" s="153"/>
      <c r="AD269" s="153"/>
      <c r="AE269" s="153"/>
      <c r="AF269" s="153"/>
      <c r="AG269" s="153"/>
      <c r="AH269" s="153"/>
      <c r="AI269" s="13"/>
      <c r="AJ269" s="95"/>
      <c r="AK269" s="96"/>
      <c r="AL269" s="97"/>
    </row>
    <row r="270" spans="1:38" x14ac:dyDescent="0.25">
      <c r="A270" s="11" t="s">
        <v>1116</v>
      </c>
      <c r="B270" s="60" t="s">
        <v>479</v>
      </c>
      <c r="C270" s="62">
        <v>2013</v>
      </c>
      <c r="D270" s="1">
        <f t="shared" si="18"/>
        <v>15</v>
      </c>
      <c r="E270" s="233">
        <f>15</f>
        <v>15</v>
      </c>
      <c r="F270" s="233"/>
      <c r="G270" s="154"/>
      <c r="H270" s="233"/>
      <c r="I270" s="233"/>
      <c r="J270" s="233"/>
      <c r="K270" s="233"/>
      <c r="L270" s="233"/>
      <c r="M270" s="233"/>
      <c r="N270" s="233"/>
      <c r="O270" s="233"/>
      <c r="P270" s="154"/>
      <c r="Q270" s="96"/>
      <c r="R270" s="97"/>
      <c r="S270" s="235"/>
      <c r="T270" s="235"/>
      <c r="U270" s="233"/>
      <c r="V270" s="233"/>
      <c r="W270" s="233"/>
      <c r="X270" s="233"/>
      <c r="Y270" s="120"/>
      <c r="Z270" s="96"/>
      <c r="AA270" s="97"/>
      <c r="AB270" s="22"/>
      <c r="AC270" s="153"/>
      <c r="AD270" s="153"/>
      <c r="AE270" s="153"/>
      <c r="AF270" s="153"/>
      <c r="AG270" s="153"/>
      <c r="AH270" s="153"/>
      <c r="AI270" s="13"/>
      <c r="AJ270" s="95"/>
      <c r="AK270" s="96"/>
      <c r="AL270" s="97"/>
    </row>
    <row r="271" spans="1:38" x14ac:dyDescent="0.25">
      <c r="A271" s="11" t="s">
        <v>1118</v>
      </c>
      <c r="B271" s="60" t="s">
        <v>6</v>
      </c>
      <c r="C271" s="62">
        <v>2014</v>
      </c>
      <c r="D271" s="1">
        <f t="shared" si="18"/>
        <v>9</v>
      </c>
      <c r="E271" s="233">
        <f>9</f>
        <v>9</v>
      </c>
      <c r="F271" s="233"/>
      <c r="G271" s="154"/>
      <c r="H271" s="233"/>
      <c r="I271" s="233"/>
      <c r="J271" s="233"/>
      <c r="K271" s="233"/>
      <c r="L271" s="233"/>
      <c r="M271" s="233"/>
      <c r="N271" s="233"/>
      <c r="O271" s="233"/>
      <c r="P271" s="154"/>
      <c r="Q271" s="96"/>
      <c r="R271" s="97"/>
      <c r="S271" s="235"/>
      <c r="T271" s="235"/>
      <c r="U271" s="233"/>
      <c r="V271" s="233"/>
      <c r="W271" s="233"/>
      <c r="X271" s="233"/>
      <c r="Y271" s="120"/>
      <c r="Z271" s="96"/>
      <c r="AA271" s="97"/>
      <c r="AB271" s="22"/>
      <c r="AC271" s="153"/>
      <c r="AD271" s="153"/>
      <c r="AE271" s="153"/>
      <c r="AF271" s="153"/>
      <c r="AG271" s="153"/>
      <c r="AH271" s="153"/>
      <c r="AI271" s="13"/>
      <c r="AJ271" s="95"/>
      <c r="AK271" s="96"/>
      <c r="AL271" s="97"/>
    </row>
    <row r="272" spans="1:38" x14ac:dyDescent="0.25">
      <c r="A272" s="11" t="s">
        <v>964</v>
      </c>
      <c r="B272" s="60" t="s">
        <v>63</v>
      </c>
      <c r="C272" s="62">
        <v>2015</v>
      </c>
      <c r="D272" s="1">
        <f t="shared" si="18"/>
        <v>0</v>
      </c>
      <c r="G272" s="154"/>
      <c r="J272" s="196">
        <f>0</f>
        <v>0</v>
      </c>
      <c r="K272" s="196"/>
      <c r="L272" s="196"/>
      <c r="M272" s="196"/>
      <c r="N272" s="196"/>
      <c r="O272" s="219">
        <f>AA272</f>
        <v>0</v>
      </c>
      <c r="P272" s="154"/>
      <c r="Q272" s="96">
        <f>AC272+I272+J272+K272+L272+M272+N272+O272</f>
        <v>0</v>
      </c>
      <c r="R272" s="97">
        <f>IF(C272=2017, Q272/3,Q272)+P272</f>
        <v>0</v>
      </c>
      <c r="S272" s="209"/>
      <c r="T272" s="209"/>
      <c r="U272" s="196"/>
      <c r="V272" s="196"/>
      <c r="W272" s="196"/>
      <c r="X272" s="196"/>
      <c r="Y272" s="120"/>
      <c r="Z272" s="96">
        <f>SUM(U272:X272)</f>
        <v>0</v>
      </c>
      <c r="AA272" s="97">
        <f>IF(C272=2016, Z272/3,Z272)+Y272</f>
        <v>0</v>
      </c>
      <c r="AB272" s="22"/>
      <c r="AC272" s="153"/>
      <c r="AD272" s="153"/>
      <c r="AE272" s="153"/>
      <c r="AF272" s="153"/>
      <c r="AG272" s="153"/>
      <c r="AH272" s="153"/>
      <c r="AI272" s="13"/>
      <c r="AJ272" s="95"/>
      <c r="AK272" s="96"/>
      <c r="AL272" s="97"/>
    </row>
    <row r="273" spans="1:38" x14ac:dyDescent="0.25">
      <c r="A273" s="11" t="s">
        <v>1136</v>
      </c>
      <c r="B273" s="11" t="s">
        <v>1101</v>
      </c>
      <c r="C273" s="3">
        <v>2015</v>
      </c>
      <c r="D273" s="1">
        <f t="shared" si="18"/>
        <v>0</v>
      </c>
      <c r="E273" s="233">
        <f>0</f>
        <v>0</v>
      </c>
      <c r="G273" s="233"/>
      <c r="J273" s="205"/>
      <c r="K273" s="205"/>
      <c r="L273" s="205"/>
      <c r="M273" s="205"/>
      <c r="N273" s="205"/>
      <c r="P273" s="233"/>
      <c r="U273" s="205"/>
      <c r="V273" s="205"/>
      <c r="W273" s="205"/>
      <c r="X273" s="205"/>
      <c r="Y273" s="233"/>
      <c r="AC273" s="233"/>
      <c r="AD273" s="233"/>
      <c r="AE273" s="233"/>
      <c r="AF273" s="233"/>
      <c r="AG273" s="233"/>
      <c r="AH273" s="233"/>
    </row>
    <row r="274" spans="1:38" x14ac:dyDescent="0.25">
      <c r="A274" s="11" t="s">
        <v>1037</v>
      </c>
      <c r="B274" s="60" t="s">
        <v>86</v>
      </c>
      <c r="C274" s="62">
        <v>2014</v>
      </c>
      <c r="D274" s="1">
        <f t="shared" si="18"/>
        <v>33</v>
      </c>
      <c r="E274" s="233">
        <f>0</f>
        <v>0</v>
      </c>
      <c r="G274" s="154"/>
      <c r="I274" s="205">
        <f>33</f>
        <v>33</v>
      </c>
      <c r="K274" s="196"/>
      <c r="L274" s="196"/>
      <c r="M274" s="196"/>
      <c r="N274" s="196"/>
      <c r="O274" s="219">
        <f>AA274</f>
        <v>0</v>
      </c>
      <c r="P274" s="154"/>
      <c r="Q274" s="96">
        <f>AC274+I274+J274+K274+L274+M274+N274+O274</f>
        <v>33</v>
      </c>
      <c r="R274" s="97">
        <f>IF(C274=2017, Q274/3,Q274)+P274</f>
        <v>33</v>
      </c>
      <c r="S274" s="235"/>
      <c r="T274" s="235"/>
      <c r="U274" s="196"/>
      <c r="V274" s="196"/>
      <c r="W274" s="196"/>
      <c r="X274" s="196"/>
      <c r="Y274" s="120"/>
      <c r="Z274" s="96">
        <f>SUM(U274:X274)</f>
        <v>0</v>
      </c>
      <c r="AA274" s="97">
        <f>IF(C274=2016, Z274/3,Z274)+Y274</f>
        <v>0</v>
      </c>
      <c r="AB274" s="22"/>
      <c r="AC274" s="153"/>
      <c r="AD274" s="153"/>
      <c r="AE274" s="153"/>
      <c r="AF274" s="153"/>
      <c r="AG274" s="153"/>
      <c r="AH274" s="153"/>
      <c r="AI274" s="13"/>
      <c r="AJ274" s="95"/>
      <c r="AK274" s="96"/>
      <c r="AL274" s="97"/>
    </row>
    <row r="275" spans="1:38" x14ac:dyDescent="0.25">
      <c r="A275" s="11" t="s">
        <v>1054</v>
      </c>
      <c r="B275" s="60" t="s">
        <v>86</v>
      </c>
      <c r="C275" s="62">
        <v>2014</v>
      </c>
      <c r="D275" s="1">
        <f t="shared" si="18"/>
        <v>53</v>
      </c>
      <c r="E275" s="233">
        <f>42</f>
        <v>42</v>
      </c>
      <c r="F275" s="233"/>
      <c r="G275" s="154"/>
      <c r="H275" s="233"/>
      <c r="I275" s="233">
        <f>11</f>
        <v>11</v>
      </c>
      <c r="J275" s="233"/>
      <c r="K275" s="233"/>
      <c r="L275" s="233"/>
      <c r="M275" s="233"/>
      <c r="N275" s="233"/>
      <c r="O275" s="233">
        <f>AA275</f>
        <v>0</v>
      </c>
      <c r="P275" s="154"/>
      <c r="Q275" s="96">
        <f>AC275+I275+J275+K275+L275+M275+N275+O275</f>
        <v>11</v>
      </c>
      <c r="R275" s="97">
        <f>IF(C275=2017, Q275/3,Q275)+P275</f>
        <v>11</v>
      </c>
      <c r="U275" s="233"/>
      <c r="V275" s="233"/>
      <c r="W275" s="233"/>
      <c r="X275" s="233"/>
      <c r="Y275" s="120"/>
      <c r="Z275" s="96">
        <f>SUM(U275:X275)</f>
        <v>0</v>
      </c>
      <c r="AA275" s="97">
        <f>IF(C275=2016, Z275/3,Z275)+Y275</f>
        <v>0</v>
      </c>
      <c r="AB275" s="22"/>
      <c r="AC275" s="153"/>
      <c r="AD275" s="153"/>
      <c r="AE275" s="153"/>
      <c r="AF275" s="153"/>
      <c r="AG275" s="153"/>
      <c r="AH275" s="153"/>
      <c r="AI275" s="13"/>
      <c r="AJ275" s="95"/>
      <c r="AK275" s="96"/>
      <c r="AL275" s="97"/>
    </row>
    <row r="276" spans="1:38" x14ac:dyDescent="0.25">
      <c r="A276" s="11" t="s">
        <v>1129</v>
      </c>
      <c r="B276" s="60" t="s">
        <v>479</v>
      </c>
      <c r="C276" s="62">
        <v>2015</v>
      </c>
      <c r="D276" s="1">
        <f t="shared" si="18"/>
        <v>0</v>
      </c>
      <c r="E276" s="233">
        <f>0</f>
        <v>0</v>
      </c>
      <c r="G276" s="154"/>
      <c r="J276" s="205"/>
      <c r="K276" s="205"/>
      <c r="L276" s="205"/>
      <c r="M276" s="205"/>
      <c r="N276" s="205"/>
      <c r="P276" s="154"/>
      <c r="Q276" s="96"/>
      <c r="R276" s="97"/>
      <c r="U276" s="205"/>
      <c r="V276" s="205"/>
      <c r="W276" s="205"/>
      <c r="X276" s="205"/>
      <c r="Y276" s="120"/>
      <c r="Z276" s="96"/>
      <c r="AA276" s="97"/>
      <c r="AB276" s="22"/>
      <c r="AC276" s="153"/>
      <c r="AD276" s="153"/>
      <c r="AE276" s="153"/>
      <c r="AF276" s="153"/>
      <c r="AG276" s="153"/>
      <c r="AH276" s="153"/>
      <c r="AI276" s="13"/>
      <c r="AJ276" s="95"/>
      <c r="AK276" s="96"/>
      <c r="AL276" s="97"/>
    </row>
    <row r="277" spans="1:38" x14ac:dyDescent="0.25">
      <c r="A277" s="11" t="s">
        <v>1041</v>
      </c>
      <c r="B277" s="60" t="s">
        <v>86</v>
      </c>
      <c r="C277" s="62">
        <v>2015</v>
      </c>
      <c r="D277" s="1">
        <f t="shared" si="18"/>
        <v>0</v>
      </c>
      <c r="E277" s="233">
        <f>0</f>
        <v>0</v>
      </c>
      <c r="F277" s="233"/>
      <c r="G277" s="154"/>
      <c r="H277" s="233"/>
      <c r="I277" s="233">
        <f>0</f>
        <v>0</v>
      </c>
      <c r="J277" s="233"/>
      <c r="K277" s="233"/>
      <c r="L277" s="233"/>
      <c r="M277" s="233"/>
      <c r="N277" s="233"/>
      <c r="O277" s="233">
        <f>AA277</f>
        <v>0</v>
      </c>
      <c r="P277" s="154"/>
      <c r="Q277" s="96">
        <f>AC277+I277+J277+K277+L277+M277+N277+O277</f>
        <v>0</v>
      </c>
      <c r="R277" s="97">
        <f>IF(C277=2017, Q277/3,Q277)+P277</f>
        <v>0</v>
      </c>
      <c r="U277" s="233"/>
      <c r="V277" s="233"/>
      <c r="W277" s="233"/>
      <c r="X277" s="233"/>
      <c r="Y277" s="120"/>
      <c r="Z277" s="96">
        <f>SUM(U277:X277)</f>
        <v>0</v>
      </c>
      <c r="AA277" s="97">
        <f>IF(C277=2016, Z277/3,Z277)+Y277</f>
        <v>0</v>
      </c>
      <c r="AB277" s="22"/>
      <c r="AC277" s="153"/>
      <c r="AD277" s="153"/>
      <c r="AE277" s="153"/>
      <c r="AF277" s="153"/>
      <c r="AG277" s="153"/>
      <c r="AH277" s="153"/>
      <c r="AI277" s="13"/>
      <c r="AJ277" s="95"/>
      <c r="AK277" s="96"/>
      <c r="AL277" s="97"/>
    </row>
    <row r="278" spans="1:38" x14ac:dyDescent="0.25">
      <c r="A278" s="11" t="s">
        <v>1147</v>
      </c>
      <c r="B278" s="60" t="s">
        <v>86</v>
      </c>
      <c r="C278" s="62">
        <v>2016</v>
      </c>
      <c r="D278" s="1">
        <f t="shared" si="18"/>
        <v>8</v>
      </c>
      <c r="E278" s="233">
        <f>8</f>
        <v>8</v>
      </c>
      <c r="F278" s="233"/>
      <c r="G278" s="154"/>
      <c r="H278" s="233"/>
      <c r="I278" s="233"/>
      <c r="J278" s="233"/>
      <c r="K278" s="233"/>
      <c r="L278" s="233"/>
      <c r="M278" s="233"/>
      <c r="N278" s="233"/>
      <c r="O278" s="233"/>
      <c r="P278" s="154"/>
      <c r="Q278" s="96"/>
      <c r="R278" s="97"/>
      <c r="U278" s="233"/>
      <c r="V278" s="233"/>
      <c r="W278" s="233"/>
      <c r="X278" s="233"/>
      <c r="Y278" s="120"/>
      <c r="Z278" s="96"/>
      <c r="AA278" s="97"/>
      <c r="AB278" s="22"/>
      <c r="AC278" s="153"/>
      <c r="AD278" s="153"/>
      <c r="AE278" s="153"/>
      <c r="AF278" s="153"/>
      <c r="AG278" s="153"/>
      <c r="AH278" s="153"/>
      <c r="AI278" s="13"/>
      <c r="AJ278" s="95"/>
      <c r="AK278" s="96"/>
      <c r="AL278" s="97"/>
    </row>
    <row r="279" spans="1:38" x14ac:dyDescent="0.25">
      <c r="A279" s="11" t="s">
        <v>1132</v>
      </c>
      <c r="B279" s="60" t="s">
        <v>1101</v>
      </c>
      <c r="C279" s="62">
        <v>2014</v>
      </c>
      <c r="D279" s="1">
        <f t="shared" si="18"/>
        <v>15</v>
      </c>
      <c r="E279" s="233">
        <f>15</f>
        <v>15</v>
      </c>
      <c r="G279" s="154"/>
      <c r="M279" s="170"/>
      <c r="N279" s="170"/>
      <c r="P279" s="154"/>
      <c r="Q279" s="96"/>
      <c r="R279" s="97"/>
      <c r="U279" s="170"/>
      <c r="V279" s="170"/>
      <c r="W279" s="170"/>
      <c r="X279" s="170"/>
      <c r="Y279" s="120"/>
      <c r="Z279" s="96"/>
      <c r="AA279" s="97"/>
      <c r="AB279" s="22"/>
      <c r="AC279" s="153"/>
      <c r="AD279" s="153"/>
      <c r="AE279" s="153"/>
      <c r="AF279" s="153"/>
      <c r="AG279" s="153"/>
      <c r="AH279" s="153"/>
      <c r="AI279" s="13"/>
      <c r="AJ279" s="95"/>
      <c r="AK279" s="96"/>
      <c r="AL279" s="97"/>
    </row>
    <row r="280" spans="1:38" x14ac:dyDescent="0.25">
      <c r="A280" s="11" t="s">
        <v>1135</v>
      </c>
      <c r="B280" s="11" t="s">
        <v>1101</v>
      </c>
      <c r="C280" s="3">
        <v>2014</v>
      </c>
      <c r="D280" s="1">
        <f t="shared" si="18"/>
        <v>0</v>
      </c>
      <c r="E280" s="233">
        <f>0</f>
        <v>0</v>
      </c>
      <c r="F280" s="233"/>
      <c r="G280" s="233"/>
      <c r="H280" s="233"/>
      <c r="I280" s="233"/>
      <c r="J280" s="233"/>
      <c r="K280" s="233"/>
      <c r="L280" s="233"/>
      <c r="M280" s="233"/>
      <c r="N280" s="233"/>
      <c r="O280" s="233"/>
      <c r="P280" s="233"/>
      <c r="U280" s="233"/>
      <c r="V280" s="233"/>
      <c r="W280" s="233"/>
      <c r="X280" s="233"/>
      <c r="Y280" s="233"/>
      <c r="AC280" s="233"/>
      <c r="AD280" s="233"/>
      <c r="AE280" s="233"/>
      <c r="AF280" s="233"/>
      <c r="AG280" s="233"/>
      <c r="AH280" s="233"/>
    </row>
    <row r="281" spans="1:38" x14ac:dyDescent="0.25">
      <c r="A281" s="11" t="s">
        <v>1113</v>
      </c>
      <c r="B281" s="60" t="s">
        <v>1114</v>
      </c>
      <c r="C281" s="62">
        <v>2015</v>
      </c>
      <c r="D281" s="1">
        <f t="shared" si="18"/>
        <v>15</v>
      </c>
      <c r="E281" s="233">
        <f>15</f>
        <v>15</v>
      </c>
      <c r="G281" s="154"/>
      <c r="K281" s="196"/>
      <c r="L281" s="196"/>
      <c r="M281" s="196"/>
      <c r="N281" s="196"/>
      <c r="P281" s="154"/>
      <c r="Q281" s="96"/>
      <c r="R281" s="97"/>
      <c r="U281" s="196"/>
      <c r="V281" s="196"/>
      <c r="W281" s="196"/>
      <c r="X281" s="196"/>
      <c r="Y281" s="120"/>
      <c r="Z281" s="96"/>
      <c r="AA281" s="97"/>
      <c r="AB281" s="22"/>
      <c r="AC281" s="153"/>
      <c r="AD281" s="153"/>
      <c r="AE281" s="153"/>
      <c r="AF281" s="153"/>
      <c r="AG281" s="153"/>
      <c r="AH281" s="153"/>
      <c r="AI281" s="13"/>
      <c r="AJ281" s="95"/>
      <c r="AK281" s="96"/>
      <c r="AL281" s="97"/>
    </row>
    <row r="282" spans="1:38" x14ac:dyDescent="0.25">
      <c r="A282" s="11" t="s">
        <v>954</v>
      </c>
      <c r="B282" s="60" t="s">
        <v>0</v>
      </c>
      <c r="C282" s="62">
        <v>2014</v>
      </c>
      <c r="D282" s="1">
        <f t="shared" si="18"/>
        <v>74</v>
      </c>
      <c r="E282" s="233">
        <f>32</f>
        <v>32</v>
      </c>
      <c r="G282" s="154"/>
      <c r="I282" s="205">
        <f>26</f>
        <v>26</v>
      </c>
      <c r="J282" s="205">
        <f>16</f>
        <v>16</v>
      </c>
      <c r="K282" s="205"/>
      <c r="L282" s="205"/>
      <c r="M282" s="205"/>
      <c r="N282" s="205"/>
      <c r="O282" s="219">
        <f>AA282</f>
        <v>0</v>
      </c>
      <c r="P282" s="154"/>
      <c r="Q282" s="96">
        <f>AC282+I282+J282+K282+L282+M282+N282+O282</f>
        <v>42</v>
      </c>
      <c r="R282" s="97">
        <f>IF(C282=2017, Q282/3,Q282)+P282</f>
        <v>42</v>
      </c>
      <c r="U282" s="205"/>
      <c r="V282" s="205"/>
      <c r="W282" s="205"/>
      <c r="X282" s="205"/>
      <c r="Y282" s="120"/>
      <c r="Z282" s="96">
        <f>SUM(U282:X282)</f>
        <v>0</v>
      </c>
      <c r="AA282" s="97">
        <f>IF(C282=2016, Z282/3,Z282)+Y282</f>
        <v>0</v>
      </c>
      <c r="AB282" s="22"/>
      <c r="AC282" s="153"/>
      <c r="AD282" s="153"/>
      <c r="AE282" s="153"/>
      <c r="AF282" s="153"/>
      <c r="AG282" s="153"/>
      <c r="AH282" s="153"/>
      <c r="AI282" s="13"/>
      <c r="AJ282" s="95"/>
      <c r="AK282" s="96"/>
      <c r="AL282" s="97"/>
    </row>
    <row r="283" spans="1:38" x14ac:dyDescent="0.25">
      <c r="A283" s="11" t="s">
        <v>1154</v>
      </c>
      <c r="B283" s="60" t="s">
        <v>6</v>
      </c>
      <c r="C283" s="62">
        <v>2013</v>
      </c>
      <c r="D283" s="1">
        <f t="shared" si="18"/>
        <v>0</v>
      </c>
      <c r="E283" s="233">
        <f>0</f>
        <v>0</v>
      </c>
      <c r="F283" s="233"/>
      <c r="G283" s="154"/>
      <c r="H283" s="233"/>
      <c r="I283" s="233"/>
      <c r="J283" s="233"/>
      <c r="K283" s="233"/>
      <c r="L283" s="233"/>
      <c r="M283" s="233"/>
      <c r="N283" s="233"/>
      <c r="O283" s="233"/>
      <c r="P283" s="154"/>
      <c r="Q283" s="96"/>
      <c r="R283" s="97"/>
      <c r="U283" s="233"/>
      <c r="V283" s="233"/>
      <c r="W283" s="233"/>
      <c r="X283" s="233"/>
      <c r="Y283" s="120"/>
      <c r="Z283" s="96"/>
      <c r="AA283" s="97"/>
      <c r="AB283" s="22"/>
      <c r="AC283" s="153"/>
      <c r="AD283" s="153"/>
      <c r="AE283" s="153"/>
      <c r="AF283" s="153"/>
      <c r="AG283" s="153"/>
      <c r="AH283" s="153"/>
      <c r="AI283" s="13"/>
      <c r="AJ283" s="95"/>
      <c r="AK283" s="96"/>
      <c r="AL283" s="97"/>
    </row>
    <row r="284" spans="1:38" x14ac:dyDescent="0.25">
      <c r="A284" s="11" t="s">
        <v>953</v>
      </c>
      <c r="B284" s="60" t="s">
        <v>948</v>
      </c>
      <c r="C284" s="62">
        <v>2014</v>
      </c>
      <c r="D284" s="1">
        <f t="shared" si="18"/>
        <v>20</v>
      </c>
      <c r="F284" s="233"/>
      <c r="G284" s="154"/>
      <c r="H284" s="233"/>
      <c r="I284" s="233"/>
      <c r="J284" s="233">
        <f>20</f>
        <v>20</v>
      </c>
      <c r="K284" s="233"/>
      <c r="L284" s="233"/>
      <c r="M284" s="233"/>
      <c r="N284" s="233"/>
      <c r="O284" s="219">
        <f>AA284</f>
        <v>0</v>
      </c>
      <c r="P284" s="154"/>
      <c r="Q284" s="96">
        <f>AC284+I284+J284+K284+L284+M284+N284+O284</f>
        <v>20</v>
      </c>
      <c r="R284" s="97">
        <f>IF(C284=2017, Q284/3,Q284)+P284</f>
        <v>20</v>
      </c>
      <c r="U284" s="205"/>
      <c r="V284" s="205"/>
      <c r="W284" s="205"/>
      <c r="X284" s="205"/>
      <c r="Y284" s="120"/>
      <c r="Z284" s="96">
        <f>SUM(U284:X284)</f>
        <v>0</v>
      </c>
      <c r="AA284" s="97">
        <f>IF(C284=2016, Z284/3,Z284)+Y284</f>
        <v>0</v>
      </c>
      <c r="AB284" s="22"/>
      <c r="AC284" s="153"/>
      <c r="AD284" s="153"/>
      <c r="AE284" s="153"/>
      <c r="AF284" s="153"/>
      <c r="AG284" s="153"/>
      <c r="AH284" s="153"/>
      <c r="AI284" s="13"/>
      <c r="AJ284" s="95"/>
      <c r="AK284" s="96"/>
      <c r="AL284" s="97"/>
    </row>
    <row r="285" spans="1:38" x14ac:dyDescent="0.25">
      <c r="A285" s="11" t="s">
        <v>1051</v>
      </c>
      <c r="B285" s="60" t="s">
        <v>86</v>
      </c>
      <c r="C285" s="62">
        <v>2014</v>
      </c>
      <c r="D285" s="1">
        <f t="shared" si="18"/>
        <v>28</v>
      </c>
      <c r="E285" s="233">
        <f>28</f>
        <v>28</v>
      </c>
      <c r="F285" s="233"/>
      <c r="G285" s="120"/>
      <c r="H285" s="233"/>
      <c r="I285" s="233"/>
      <c r="J285" s="233"/>
      <c r="K285" s="233"/>
      <c r="L285" s="233"/>
      <c r="M285" s="233"/>
      <c r="N285" s="233"/>
      <c r="O285" s="219">
        <f>AA285</f>
        <v>0</v>
      </c>
      <c r="P285" s="120"/>
      <c r="Q285" s="96">
        <f>AC285+I285+J285+K285+L285+M285+N285+O285</f>
        <v>0</v>
      </c>
      <c r="R285" s="97">
        <f>IF(C285=2017, Q285/3,Q285)+P285</f>
        <v>0</v>
      </c>
      <c r="U285" s="170"/>
      <c r="V285" s="170"/>
      <c r="W285" s="170"/>
      <c r="X285" s="170"/>
      <c r="Y285" s="120"/>
      <c r="Z285" s="96">
        <f>SUM(U285:X285)</f>
        <v>0</v>
      </c>
      <c r="AA285" s="97">
        <f>IF(C285=2016, Z285/3,Z285)+Y285</f>
        <v>0</v>
      </c>
      <c r="AB285" s="22"/>
      <c r="AC285" s="41"/>
      <c r="AD285" s="41"/>
      <c r="AE285" s="41"/>
      <c r="AF285" s="41"/>
      <c r="AG285" s="41"/>
      <c r="AH285" s="41"/>
      <c r="AI285" s="13"/>
      <c r="AJ285" s="95"/>
      <c r="AK285" s="96"/>
      <c r="AL285" s="97"/>
    </row>
    <row r="286" spans="1:38" x14ac:dyDescent="0.25">
      <c r="A286" s="45" t="s">
        <v>1004</v>
      </c>
      <c r="B286" s="66" t="s">
        <v>86</v>
      </c>
      <c r="C286" s="46">
        <v>2013</v>
      </c>
      <c r="D286" s="1">
        <f t="shared" si="18"/>
        <v>28</v>
      </c>
      <c r="E286" s="156"/>
      <c r="F286" s="156"/>
      <c r="G286" s="154"/>
      <c r="H286" s="156"/>
      <c r="I286" s="156">
        <f>26+2</f>
        <v>28</v>
      </c>
      <c r="J286" s="156"/>
      <c r="K286" s="156"/>
      <c r="L286" s="156"/>
      <c r="M286" s="156"/>
      <c r="N286" s="156"/>
      <c r="O286" s="219">
        <f>AA286</f>
        <v>0</v>
      </c>
      <c r="P286" s="154"/>
      <c r="Q286" s="96">
        <f>AC286+I286+J286+K286+L286+M286+N286+O286</f>
        <v>28</v>
      </c>
      <c r="R286" s="97">
        <f>IF(C286=2017, Q286/3,Q286)+P286</f>
        <v>28</v>
      </c>
      <c r="U286" s="205"/>
      <c r="V286" s="205"/>
      <c r="W286" s="205"/>
      <c r="X286" s="205"/>
      <c r="Y286" s="120"/>
      <c r="Z286" s="96">
        <f>SUM(U286:X286)</f>
        <v>0</v>
      </c>
      <c r="AA286" s="97">
        <f>IF(C286=2016, Z286/3,Z286)+Y286</f>
        <v>0</v>
      </c>
      <c r="AB286" s="101"/>
      <c r="AC286" s="153"/>
      <c r="AD286" s="153"/>
      <c r="AE286" s="153"/>
      <c r="AF286" s="153"/>
      <c r="AG286" s="153"/>
      <c r="AH286" s="153"/>
      <c r="AI286" s="13"/>
      <c r="AJ286" s="95"/>
      <c r="AK286" s="96"/>
      <c r="AL286" s="97"/>
    </row>
    <row r="287" spans="1:38" x14ac:dyDescent="0.25">
      <c r="A287" s="45" t="s">
        <v>1148</v>
      </c>
      <c r="B287" s="66" t="s">
        <v>7</v>
      </c>
      <c r="C287" s="46">
        <v>2015</v>
      </c>
      <c r="D287" s="1">
        <f t="shared" si="18"/>
        <v>0</v>
      </c>
      <c r="E287" s="156">
        <f>0</f>
        <v>0</v>
      </c>
      <c r="F287" s="156"/>
      <c r="G287" s="154"/>
      <c r="H287" s="156"/>
      <c r="I287" s="156"/>
      <c r="J287" s="156"/>
      <c r="K287" s="156"/>
      <c r="L287" s="156"/>
      <c r="M287" s="156"/>
      <c r="N287" s="156"/>
      <c r="O287" s="233"/>
      <c r="P287" s="154"/>
      <c r="Q287" s="96"/>
      <c r="R287" s="97"/>
      <c r="U287" s="233"/>
      <c r="V287" s="233"/>
      <c r="W287" s="233"/>
      <c r="X287" s="233"/>
      <c r="Y287" s="120"/>
      <c r="Z287" s="96"/>
      <c r="AA287" s="97"/>
      <c r="AB287" s="101"/>
      <c r="AC287" s="153"/>
      <c r="AD287" s="153"/>
      <c r="AE287" s="153"/>
      <c r="AF287" s="153"/>
      <c r="AG287" s="153"/>
      <c r="AH287" s="153"/>
      <c r="AI287" s="13"/>
      <c r="AJ287" s="95"/>
      <c r="AK287" s="96"/>
      <c r="AL287" s="97"/>
    </row>
    <row r="288" spans="1:38" x14ac:dyDescent="0.25">
      <c r="A288" s="45" t="s">
        <v>1100</v>
      </c>
      <c r="B288" s="66" t="s">
        <v>1101</v>
      </c>
      <c r="C288" s="46">
        <v>2015</v>
      </c>
      <c r="D288" s="1">
        <f t="shared" ref="D288:D313" si="19">R288+F288+E288</f>
        <v>0</v>
      </c>
      <c r="E288" s="156">
        <f>0</f>
        <v>0</v>
      </c>
      <c r="F288" s="156"/>
      <c r="G288" s="154"/>
      <c r="H288" s="156"/>
      <c r="I288" s="156"/>
      <c r="J288" s="156"/>
      <c r="K288" s="156"/>
      <c r="L288" s="156"/>
      <c r="M288" s="156"/>
      <c r="N288" s="156"/>
      <c r="P288" s="154"/>
      <c r="Q288" s="96"/>
      <c r="R288" s="97"/>
      <c r="U288" s="166"/>
      <c r="V288" s="166"/>
      <c r="W288" s="166"/>
      <c r="X288" s="166"/>
      <c r="Y288" s="120"/>
      <c r="Z288" s="96"/>
      <c r="AA288" s="97"/>
      <c r="AB288" s="101"/>
      <c r="AC288" s="153"/>
      <c r="AD288" s="153"/>
      <c r="AE288" s="153"/>
      <c r="AF288" s="153"/>
      <c r="AG288" s="153"/>
      <c r="AH288" s="153"/>
      <c r="AI288" s="13"/>
      <c r="AJ288" s="95"/>
      <c r="AK288" s="96"/>
      <c r="AL288" s="97"/>
    </row>
    <row r="289" spans="1:38" x14ac:dyDescent="0.25">
      <c r="A289" s="45" t="s">
        <v>1010</v>
      </c>
      <c r="B289" s="66" t="s">
        <v>63</v>
      </c>
      <c r="C289" s="46">
        <v>2014</v>
      </c>
      <c r="D289" s="1">
        <f t="shared" si="19"/>
        <v>0</v>
      </c>
      <c r="E289" s="156"/>
      <c r="F289" s="156"/>
      <c r="G289" s="154"/>
      <c r="H289" s="156"/>
      <c r="I289" s="156">
        <f>0</f>
        <v>0</v>
      </c>
      <c r="J289" s="156"/>
      <c r="K289" s="156"/>
      <c r="L289" s="156"/>
      <c r="M289" s="156"/>
      <c r="N289" s="156"/>
      <c r="O289" s="219">
        <f t="shared" ref="O289:O294" si="20">AA289</f>
        <v>0</v>
      </c>
      <c r="P289" s="154"/>
      <c r="Q289" s="96">
        <f t="shared" ref="Q289:Q294" si="21">AC289+I289+J289+K289+L289+M289+N289+O289</f>
        <v>0</v>
      </c>
      <c r="R289" s="97">
        <f t="shared" ref="R289:R294" si="22">IF(C289=2017, Q289/3,Q289)+P289</f>
        <v>0</v>
      </c>
      <c r="U289" s="196"/>
      <c r="V289" s="196"/>
      <c r="W289" s="196"/>
      <c r="X289" s="196"/>
      <c r="Y289" s="120"/>
      <c r="Z289" s="96">
        <f t="shared" ref="Z289:Z294" si="23">SUM(U289:X289)</f>
        <v>0</v>
      </c>
      <c r="AA289" s="97">
        <f t="shared" ref="AA289:AA294" si="24">IF(C289=2016, Z289/3,Z289)+Y289</f>
        <v>0</v>
      </c>
      <c r="AB289" s="101"/>
      <c r="AC289" s="153"/>
      <c r="AD289" s="153"/>
      <c r="AE289" s="153"/>
      <c r="AF289" s="153"/>
      <c r="AG289" s="153"/>
      <c r="AH289" s="153"/>
      <c r="AI289" s="13"/>
      <c r="AJ289" s="95"/>
      <c r="AK289" s="96"/>
      <c r="AL289" s="97"/>
    </row>
    <row r="290" spans="1:38" x14ac:dyDescent="0.25">
      <c r="A290" s="45" t="s">
        <v>1032</v>
      </c>
      <c r="B290" s="66" t="s">
        <v>86</v>
      </c>
      <c r="C290" s="46">
        <v>2013</v>
      </c>
      <c r="D290" s="1">
        <f t="shared" si="19"/>
        <v>117</v>
      </c>
      <c r="E290" s="156">
        <f>45</f>
        <v>45</v>
      </c>
      <c r="F290" s="156"/>
      <c r="G290" s="154"/>
      <c r="H290" s="156"/>
      <c r="I290" s="156">
        <f>72</f>
        <v>72</v>
      </c>
      <c r="J290" s="156"/>
      <c r="K290" s="156"/>
      <c r="L290" s="156"/>
      <c r="M290" s="156"/>
      <c r="N290" s="156"/>
      <c r="O290" s="219">
        <f t="shared" si="20"/>
        <v>0</v>
      </c>
      <c r="P290" s="154"/>
      <c r="Q290" s="96">
        <f t="shared" si="21"/>
        <v>72</v>
      </c>
      <c r="R290" s="97">
        <f t="shared" si="22"/>
        <v>72</v>
      </c>
      <c r="U290" s="196"/>
      <c r="V290" s="196"/>
      <c r="W290" s="196"/>
      <c r="X290" s="196"/>
      <c r="Y290" s="120"/>
      <c r="Z290" s="96">
        <f t="shared" si="23"/>
        <v>0</v>
      </c>
      <c r="AA290" s="97">
        <f t="shared" si="24"/>
        <v>0</v>
      </c>
      <c r="AB290" s="101"/>
      <c r="AC290" s="153"/>
      <c r="AD290" s="153"/>
      <c r="AE290" s="153"/>
      <c r="AF290" s="153"/>
      <c r="AG290" s="153"/>
      <c r="AH290" s="153"/>
      <c r="AI290" s="13"/>
      <c r="AJ290" s="95"/>
      <c r="AK290" s="96"/>
      <c r="AL290" s="97"/>
    </row>
    <row r="291" spans="1:38" x14ac:dyDescent="0.25">
      <c r="A291" s="45" t="s">
        <v>961</v>
      </c>
      <c r="B291" s="66" t="s">
        <v>63</v>
      </c>
      <c r="C291" s="46">
        <v>2013</v>
      </c>
      <c r="D291" s="1">
        <f t="shared" si="19"/>
        <v>0</v>
      </c>
      <c r="E291" s="156"/>
      <c r="F291" s="156"/>
      <c r="G291" s="154"/>
      <c r="H291" s="156"/>
      <c r="I291" s="156">
        <f>0</f>
        <v>0</v>
      </c>
      <c r="J291" s="156">
        <f>0</f>
        <v>0</v>
      </c>
      <c r="K291" s="156"/>
      <c r="L291" s="156"/>
      <c r="M291" s="156"/>
      <c r="N291" s="156"/>
      <c r="O291" s="233">
        <f t="shared" si="20"/>
        <v>0</v>
      </c>
      <c r="P291" s="154"/>
      <c r="Q291" s="96">
        <f t="shared" si="21"/>
        <v>0</v>
      </c>
      <c r="R291" s="97">
        <f t="shared" si="22"/>
        <v>0</v>
      </c>
      <c r="U291" s="233"/>
      <c r="V291" s="233"/>
      <c r="W291" s="233"/>
      <c r="X291" s="233"/>
      <c r="Y291" s="120"/>
      <c r="Z291" s="96">
        <f t="shared" si="23"/>
        <v>0</v>
      </c>
      <c r="AA291" s="97">
        <f t="shared" si="24"/>
        <v>0</v>
      </c>
      <c r="AB291" s="101"/>
      <c r="AC291" s="153"/>
      <c r="AD291" s="153"/>
      <c r="AE291" s="153"/>
      <c r="AF291" s="153"/>
      <c r="AG291" s="153"/>
      <c r="AH291" s="153"/>
      <c r="AI291" s="13"/>
      <c r="AJ291" s="95"/>
      <c r="AK291" s="96"/>
      <c r="AL291" s="97"/>
    </row>
    <row r="292" spans="1:38" x14ac:dyDescent="0.25">
      <c r="A292" s="45" t="s">
        <v>951</v>
      </c>
      <c r="B292" s="66" t="s">
        <v>63</v>
      </c>
      <c r="C292" s="46">
        <v>2013</v>
      </c>
      <c r="D292" s="1">
        <f t="shared" si="19"/>
        <v>69</v>
      </c>
      <c r="E292" s="156"/>
      <c r="F292" s="156"/>
      <c r="G292" s="154"/>
      <c r="H292" s="156"/>
      <c r="I292" s="156">
        <f>41+2</f>
        <v>43</v>
      </c>
      <c r="J292" s="156">
        <f>26</f>
        <v>26</v>
      </c>
      <c r="K292" s="156"/>
      <c r="L292" s="156"/>
      <c r="M292" s="156"/>
      <c r="N292" s="156"/>
      <c r="O292" s="219">
        <f t="shared" si="20"/>
        <v>0</v>
      </c>
      <c r="P292" s="154"/>
      <c r="Q292" s="96">
        <f t="shared" si="21"/>
        <v>69</v>
      </c>
      <c r="R292" s="97">
        <f t="shared" si="22"/>
        <v>69</v>
      </c>
      <c r="U292" s="196"/>
      <c r="V292" s="196"/>
      <c r="W292" s="196"/>
      <c r="X292" s="196"/>
      <c r="Y292" s="120"/>
      <c r="Z292" s="96">
        <f t="shared" si="23"/>
        <v>0</v>
      </c>
      <c r="AA292" s="97">
        <f t="shared" si="24"/>
        <v>0</v>
      </c>
      <c r="AB292" s="101"/>
      <c r="AC292" s="153"/>
      <c r="AD292" s="153"/>
      <c r="AE292" s="153"/>
      <c r="AF292" s="153"/>
      <c r="AG292" s="153"/>
      <c r="AH292" s="153"/>
      <c r="AI292" s="13"/>
      <c r="AJ292" s="95"/>
      <c r="AK292" s="96"/>
      <c r="AL292" s="97"/>
    </row>
    <row r="293" spans="1:38" x14ac:dyDescent="0.25">
      <c r="A293" s="45" t="s">
        <v>971</v>
      </c>
      <c r="B293" s="66" t="s">
        <v>948</v>
      </c>
      <c r="C293" s="46">
        <v>2014</v>
      </c>
      <c r="D293" s="1">
        <f t="shared" si="19"/>
        <v>56</v>
      </c>
      <c r="E293" s="156"/>
      <c r="F293" s="156"/>
      <c r="G293" s="154"/>
      <c r="H293" s="156"/>
      <c r="I293" s="156"/>
      <c r="J293" s="156">
        <f>44+12</f>
        <v>56</v>
      </c>
      <c r="K293" s="156"/>
      <c r="L293" s="156"/>
      <c r="M293" s="156"/>
      <c r="N293" s="156"/>
      <c r="O293" s="233">
        <f t="shared" si="20"/>
        <v>0</v>
      </c>
      <c r="P293" s="154"/>
      <c r="Q293" s="96">
        <f t="shared" si="21"/>
        <v>56</v>
      </c>
      <c r="R293" s="97">
        <f t="shared" si="22"/>
        <v>56</v>
      </c>
      <c r="U293" s="233"/>
      <c r="V293" s="233"/>
      <c r="W293" s="233"/>
      <c r="X293" s="233"/>
      <c r="Y293" s="120"/>
      <c r="Z293" s="96">
        <f t="shared" si="23"/>
        <v>0</v>
      </c>
      <c r="AA293" s="97">
        <f t="shared" si="24"/>
        <v>0</v>
      </c>
      <c r="AB293" s="101"/>
      <c r="AC293" s="153"/>
      <c r="AD293" s="153"/>
      <c r="AE293" s="153"/>
      <c r="AF293" s="153"/>
      <c r="AG293" s="153"/>
      <c r="AH293" s="153"/>
      <c r="AI293" s="13"/>
      <c r="AJ293" s="95"/>
      <c r="AK293" s="96"/>
      <c r="AL293" s="97"/>
    </row>
    <row r="294" spans="1:38" x14ac:dyDescent="0.25">
      <c r="A294" s="45" t="s">
        <v>973</v>
      </c>
      <c r="B294" s="66" t="s">
        <v>948</v>
      </c>
      <c r="C294" s="46">
        <v>2014</v>
      </c>
      <c r="D294" s="1">
        <f t="shared" si="19"/>
        <v>0</v>
      </c>
      <c r="E294" s="156"/>
      <c r="F294" s="156"/>
      <c r="G294" s="154"/>
      <c r="H294" s="156"/>
      <c r="I294" s="156"/>
      <c r="J294" s="156">
        <f>0</f>
        <v>0</v>
      </c>
      <c r="K294" s="156"/>
      <c r="L294" s="156"/>
      <c r="M294" s="156"/>
      <c r="N294" s="156"/>
      <c r="O294" s="219">
        <f t="shared" si="20"/>
        <v>0</v>
      </c>
      <c r="P294" s="154"/>
      <c r="Q294" s="96">
        <f t="shared" si="21"/>
        <v>0</v>
      </c>
      <c r="R294" s="97">
        <f t="shared" si="22"/>
        <v>0</v>
      </c>
      <c r="U294" s="196"/>
      <c r="V294" s="196"/>
      <c r="W294" s="196"/>
      <c r="X294" s="196"/>
      <c r="Y294" s="120"/>
      <c r="Z294" s="96">
        <f t="shared" si="23"/>
        <v>0</v>
      </c>
      <c r="AA294" s="97">
        <f t="shared" si="24"/>
        <v>0</v>
      </c>
      <c r="AB294" s="101"/>
      <c r="AC294" s="153"/>
      <c r="AD294" s="153"/>
      <c r="AE294" s="153"/>
      <c r="AF294" s="153"/>
      <c r="AG294" s="153"/>
      <c r="AH294" s="153"/>
      <c r="AI294" s="13"/>
      <c r="AJ294" s="95"/>
      <c r="AK294" s="96"/>
      <c r="AL294" s="97"/>
    </row>
    <row r="295" spans="1:38" x14ac:dyDescent="0.25">
      <c r="A295" s="45" t="s">
        <v>1098</v>
      </c>
      <c r="B295" s="66" t="s">
        <v>842</v>
      </c>
      <c r="C295" s="46">
        <v>2013</v>
      </c>
      <c r="D295" s="1">
        <f t="shared" si="19"/>
        <v>0</v>
      </c>
      <c r="E295" s="156">
        <f>0</f>
        <v>0</v>
      </c>
      <c r="F295" s="156"/>
      <c r="G295" s="154"/>
      <c r="H295" s="156"/>
      <c r="I295" s="156"/>
      <c r="J295" s="156"/>
      <c r="K295" s="156"/>
      <c r="L295" s="156"/>
      <c r="M295" s="156"/>
      <c r="N295" s="156"/>
      <c r="P295" s="154"/>
      <c r="Q295" s="96"/>
      <c r="R295" s="97"/>
      <c r="U295" s="166"/>
      <c r="V295" s="166"/>
      <c r="W295" s="166"/>
      <c r="X295" s="166"/>
      <c r="Y295" s="120"/>
      <c r="Z295" s="96"/>
      <c r="AA295" s="97"/>
      <c r="AB295" s="101"/>
      <c r="AC295" s="153"/>
      <c r="AD295" s="153"/>
      <c r="AE295" s="153"/>
      <c r="AF295" s="153"/>
      <c r="AG295" s="153"/>
      <c r="AH295" s="153"/>
      <c r="AI295" s="13"/>
      <c r="AJ295" s="95"/>
      <c r="AK295" s="96"/>
      <c r="AL295" s="97"/>
    </row>
    <row r="296" spans="1:38" x14ac:dyDescent="0.25">
      <c r="A296" s="11" t="s">
        <v>965</v>
      </c>
      <c r="B296" s="11" t="s">
        <v>63</v>
      </c>
      <c r="C296" s="3">
        <v>2013</v>
      </c>
      <c r="D296" s="1">
        <f t="shared" si="19"/>
        <v>0</v>
      </c>
      <c r="G296" s="154"/>
      <c r="I296" s="219">
        <f>0</f>
        <v>0</v>
      </c>
      <c r="J296" s="219">
        <f>0</f>
        <v>0</v>
      </c>
      <c r="K296" s="219"/>
      <c r="L296" s="219"/>
      <c r="M296" s="219"/>
      <c r="N296" s="219"/>
      <c r="O296" s="219">
        <f>AA296</f>
        <v>0</v>
      </c>
      <c r="P296" s="154"/>
      <c r="Q296" s="96">
        <f>AC296+I296+J296+K296+L296+M296+N296+O296</f>
        <v>0</v>
      </c>
      <c r="R296" s="97">
        <f>IF(C296=2017, Q296/3,Q296)+P296</f>
        <v>0</v>
      </c>
      <c r="U296" s="219"/>
      <c r="V296" s="219"/>
      <c r="W296" s="219"/>
      <c r="X296" s="219"/>
      <c r="Y296" s="120"/>
      <c r="Z296" s="96">
        <f>SUM(U296:X296)</f>
        <v>0</v>
      </c>
      <c r="AA296" s="97">
        <f>IF(C296=2016, Z296/3,Z296)+Y296</f>
        <v>0</v>
      </c>
      <c r="AB296" s="22"/>
      <c r="AC296" s="219"/>
      <c r="AD296" s="219"/>
      <c r="AE296" s="219"/>
      <c r="AF296" s="219"/>
      <c r="AG296" s="219"/>
      <c r="AH296" s="219"/>
      <c r="AJ296" s="95"/>
      <c r="AK296" s="96"/>
      <c r="AL296" s="97"/>
    </row>
    <row r="297" spans="1:38" x14ac:dyDescent="0.25">
      <c r="A297" s="11" t="s">
        <v>1140</v>
      </c>
      <c r="B297" s="11" t="s">
        <v>1101</v>
      </c>
      <c r="C297" s="3">
        <f>2014</f>
        <v>2014</v>
      </c>
      <c r="D297" s="1">
        <f t="shared" si="19"/>
        <v>0</v>
      </c>
      <c r="E297" s="233">
        <f>0</f>
        <v>0</v>
      </c>
      <c r="G297" s="233"/>
      <c r="M297" s="166"/>
      <c r="N297" s="166"/>
      <c r="P297" s="233"/>
      <c r="U297" s="166"/>
      <c r="V297" s="166"/>
      <c r="W297" s="166"/>
      <c r="X297" s="166"/>
      <c r="Y297" s="233"/>
      <c r="AC297" s="166"/>
      <c r="AD297" s="166"/>
      <c r="AE297" s="166"/>
      <c r="AF297" s="166"/>
      <c r="AG297" s="166"/>
      <c r="AH297" s="166"/>
    </row>
    <row r="298" spans="1:38" x14ac:dyDescent="0.25">
      <c r="A298" s="11" t="s">
        <v>1015</v>
      </c>
      <c r="B298" s="11" t="s">
        <v>86</v>
      </c>
      <c r="C298" s="3">
        <v>2013</v>
      </c>
      <c r="D298" s="1">
        <f t="shared" si="19"/>
        <v>2</v>
      </c>
      <c r="F298" s="233"/>
      <c r="G298" s="154"/>
      <c r="H298" s="233"/>
      <c r="I298" s="233">
        <f>0+2</f>
        <v>2</v>
      </c>
      <c r="J298" s="233"/>
      <c r="K298" s="233"/>
      <c r="L298" s="233"/>
      <c r="M298" s="233"/>
      <c r="N298" s="233"/>
      <c r="O298" s="219">
        <f>AA298</f>
        <v>0</v>
      </c>
      <c r="P298" s="154"/>
      <c r="Q298" s="96">
        <f>AC298+I298+J298+K298+L298+M298+N298+O298</f>
        <v>2</v>
      </c>
      <c r="R298" s="97">
        <f>IF(C298=2017, Q298/3,Q298)+P298</f>
        <v>2</v>
      </c>
      <c r="U298" s="233"/>
      <c r="V298" s="233"/>
      <c r="W298" s="233"/>
      <c r="X298" s="233"/>
      <c r="Y298" s="120"/>
      <c r="Z298" s="96">
        <f>SUM(U298:X298)</f>
        <v>0</v>
      </c>
      <c r="AA298" s="97">
        <f>IF(C298=2016, Z298/3,Z298)+Y298</f>
        <v>0</v>
      </c>
      <c r="AB298" s="22"/>
      <c r="AC298" s="233"/>
      <c r="AD298" s="233"/>
      <c r="AE298" s="233"/>
      <c r="AF298" s="233"/>
      <c r="AG298" s="233"/>
      <c r="AH298" s="233"/>
      <c r="AJ298" s="95"/>
      <c r="AK298" s="96"/>
      <c r="AL298" s="97"/>
    </row>
    <row r="299" spans="1:38" x14ac:dyDescent="0.25">
      <c r="A299" s="11" t="s">
        <v>1075</v>
      </c>
      <c r="B299" s="11" t="s">
        <v>232</v>
      </c>
      <c r="C299" s="3">
        <v>2014</v>
      </c>
      <c r="D299" s="1">
        <f t="shared" si="19"/>
        <v>83</v>
      </c>
      <c r="E299" s="233">
        <f>66+15</f>
        <v>81</v>
      </c>
      <c r="F299" s="233">
        <f>2</f>
        <v>2</v>
      </c>
      <c r="G299" s="154"/>
      <c r="H299" s="233"/>
      <c r="I299" s="233"/>
      <c r="J299" s="233"/>
      <c r="K299" s="233"/>
      <c r="L299" s="233"/>
      <c r="M299" s="233"/>
      <c r="N299" s="233"/>
      <c r="O299" s="233"/>
      <c r="P299" s="154"/>
      <c r="Q299" s="96"/>
      <c r="R299" s="97"/>
      <c r="U299" s="233"/>
      <c r="V299" s="233"/>
      <c r="W299" s="233"/>
      <c r="X299" s="233"/>
      <c r="Y299" s="120"/>
      <c r="Z299" s="96"/>
      <c r="AA299" s="97"/>
      <c r="AB299" s="22"/>
      <c r="AC299" s="233"/>
      <c r="AD299" s="233"/>
      <c r="AE299" s="233"/>
      <c r="AF299" s="233"/>
      <c r="AG299" s="233"/>
      <c r="AH299" s="233"/>
      <c r="AJ299" s="95"/>
      <c r="AK299" s="96"/>
      <c r="AL299" s="97"/>
    </row>
    <row r="300" spans="1:38" x14ac:dyDescent="0.25">
      <c r="A300" s="11" t="s">
        <v>1141</v>
      </c>
      <c r="B300" s="11" t="s">
        <v>1101</v>
      </c>
      <c r="C300" s="3">
        <v>2014</v>
      </c>
      <c r="D300" s="1">
        <f t="shared" si="19"/>
        <v>0</v>
      </c>
      <c r="E300" s="233">
        <f>0</f>
        <v>0</v>
      </c>
      <c r="F300" s="233"/>
      <c r="G300" s="233"/>
      <c r="H300" s="233"/>
      <c r="I300" s="233"/>
      <c r="J300" s="233"/>
      <c r="K300" s="233"/>
      <c r="L300" s="233"/>
      <c r="M300" s="233"/>
      <c r="N300" s="233"/>
      <c r="O300" s="233"/>
      <c r="P300" s="233"/>
      <c r="U300" s="233"/>
      <c r="V300" s="233"/>
      <c r="W300" s="233"/>
      <c r="X300" s="233"/>
      <c r="Y300" s="233"/>
      <c r="AC300" s="233"/>
      <c r="AD300" s="233"/>
      <c r="AE300" s="233"/>
      <c r="AF300" s="233"/>
      <c r="AG300" s="233"/>
      <c r="AH300" s="233"/>
    </row>
    <row r="301" spans="1:38" x14ac:dyDescent="0.25">
      <c r="A301" s="45" t="s">
        <v>1111</v>
      </c>
      <c r="B301" s="66" t="s">
        <v>6</v>
      </c>
      <c r="C301" s="46">
        <v>2014</v>
      </c>
      <c r="D301" s="1">
        <f t="shared" si="19"/>
        <v>37</v>
      </c>
      <c r="E301" s="108">
        <f>24+13</f>
        <v>37</v>
      </c>
      <c r="F301" s="108"/>
      <c r="G301" s="122"/>
      <c r="H301" s="108"/>
      <c r="I301" s="108"/>
      <c r="J301" s="108"/>
      <c r="K301" s="108"/>
      <c r="L301" s="108"/>
      <c r="M301" s="108"/>
      <c r="N301" s="108"/>
      <c r="P301" s="122"/>
      <c r="Q301" s="96"/>
      <c r="R301" s="97"/>
      <c r="S301" s="101"/>
      <c r="T301" s="108"/>
      <c r="U301" s="108"/>
      <c r="V301" s="108"/>
      <c r="W301" s="108"/>
      <c r="X301" s="108"/>
      <c r="Y301" s="122"/>
      <c r="Z301" s="96"/>
      <c r="AA301" s="97"/>
      <c r="AB301" s="101"/>
      <c r="AC301" s="41"/>
      <c r="AD301" s="41"/>
      <c r="AE301" s="41"/>
      <c r="AF301" s="41"/>
      <c r="AG301" s="41"/>
      <c r="AH301" s="41"/>
      <c r="AI301" s="13"/>
    </row>
    <row r="302" spans="1:38" x14ac:dyDescent="0.25">
      <c r="A302" s="45" t="s">
        <v>260</v>
      </c>
      <c r="B302" s="66" t="s">
        <v>232</v>
      </c>
      <c r="C302" s="46">
        <v>2014</v>
      </c>
      <c r="D302" s="1">
        <f t="shared" si="19"/>
        <v>22</v>
      </c>
      <c r="E302" s="108">
        <f>22</f>
        <v>22</v>
      </c>
      <c r="F302" s="108"/>
      <c r="G302" s="122"/>
      <c r="H302" s="108"/>
      <c r="I302" s="108"/>
      <c r="J302" s="108"/>
      <c r="K302" s="108"/>
      <c r="L302" s="108"/>
      <c r="M302" s="108"/>
      <c r="N302" s="108"/>
      <c r="P302" s="122"/>
      <c r="Q302" s="96"/>
      <c r="R302" s="97"/>
      <c r="S302" s="101"/>
      <c r="T302" s="108"/>
      <c r="U302" s="108"/>
      <c r="V302" s="108"/>
      <c r="W302" s="108"/>
      <c r="X302" s="108"/>
      <c r="Y302" s="122"/>
      <c r="Z302" s="96"/>
      <c r="AA302" s="97"/>
      <c r="AB302" s="101"/>
      <c r="AC302" s="41"/>
      <c r="AD302" s="41"/>
      <c r="AE302" s="41"/>
      <c r="AF302" s="41"/>
      <c r="AG302" s="41"/>
      <c r="AH302" s="41"/>
      <c r="AI302" s="13"/>
    </row>
    <row r="303" spans="1:38" x14ac:dyDescent="0.25">
      <c r="A303" s="11" t="s">
        <v>1138</v>
      </c>
      <c r="B303" s="11" t="s">
        <v>1101</v>
      </c>
      <c r="C303" s="3">
        <v>2013</v>
      </c>
      <c r="D303" s="1">
        <f t="shared" si="19"/>
        <v>0</v>
      </c>
      <c r="E303" s="233">
        <f>0</f>
        <v>0</v>
      </c>
      <c r="F303" s="233"/>
      <c r="G303" s="233"/>
      <c r="H303" s="233"/>
      <c r="I303" s="233"/>
      <c r="J303" s="233"/>
      <c r="K303" s="233"/>
      <c r="L303" s="233"/>
      <c r="M303" s="233"/>
      <c r="N303" s="233"/>
      <c r="O303" s="233"/>
      <c r="P303" s="233"/>
      <c r="U303" s="233"/>
      <c r="V303" s="233"/>
      <c r="W303" s="233"/>
      <c r="X303" s="233"/>
      <c r="Y303" s="233"/>
      <c r="AC303" s="233"/>
      <c r="AD303" s="233"/>
      <c r="AE303" s="233"/>
      <c r="AF303" s="233"/>
      <c r="AG303" s="233"/>
      <c r="AH303" s="233"/>
    </row>
    <row r="304" spans="1:38" x14ac:dyDescent="0.25">
      <c r="A304" s="11" t="s">
        <v>957</v>
      </c>
      <c r="B304" s="60" t="s">
        <v>63</v>
      </c>
      <c r="C304" s="62">
        <v>2013</v>
      </c>
      <c r="D304" s="1">
        <f t="shared" si="19"/>
        <v>9</v>
      </c>
      <c r="G304" s="154"/>
      <c r="I304" s="205">
        <f>0</f>
        <v>0</v>
      </c>
      <c r="J304" s="196">
        <f>9</f>
        <v>9</v>
      </c>
      <c r="M304" s="170"/>
      <c r="N304" s="170"/>
      <c r="O304" s="219">
        <f>AA304</f>
        <v>0</v>
      </c>
      <c r="P304" s="154"/>
      <c r="Q304" s="96">
        <f>AC304+I304+J304+K304+L304+M304+N304+O304</f>
        <v>9</v>
      </c>
      <c r="R304" s="97">
        <f>IF(C304=2017, Q304/3,Q304)+P304</f>
        <v>9</v>
      </c>
      <c r="U304" s="170"/>
      <c r="V304" s="170"/>
      <c r="W304" s="170"/>
      <c r="X304" s="170"/>
      <c r="Y304" s="120"/>
      <c r="Z304" s="96">
        <f>SUM(U304:X304)</f>
        <v>0</v>
      </c>
      <c r="AA304" s="97">
        <f>IF(C304=2016, Z304/3,Z304)+Y304</f>
        <v>0</v>
      </c>
      <c r="AB304" s="22"/>
      <c r="AC304" s="153"/>
      <c r="AD304" s="153"/>
      <c r="AE304" s="153"/>
      <c r="AF304" s="153"/>
      <c r="AG304" s="153"/>
      <c r="AH304" s="153"/>
      <c r="AI304" s="13"/>
      <c r="AJ304" s="95"/>
      <c r="AK304" s="96"/>
      <c r="AL304" s="97"/>
    </row>
    <row r="305" spans="1:38" x14ac:dyDescent="0.25">
      <c r="A305" s="11" t="s">
        <v>1000</v>
      </c>
      <c r="B305" s="60" t="s">
        <v>86</v>
      </c>
      <c r="C305" s="62">
        <v>2014</v>
      </c>
      <c r="D305" s="1">
        <f t="shared" si="19"/>
        <v>31</v>
      </c>
      <c r="G305" s="154"/>
      <c r="I305" s="205">
        <f>31</f>
        <v>31</v>
      </c>
      <c r="J305" s="205"/>
      <c r="K305" s="205"/>
      <c r="L305" s="205"/>
      <c r="M305" s="205"/>
      <c r="N305" s="205"/>
      <c r="O305" s="219">
        <f>AA305</f>
        <v>0</v>
      </c>
      <c r="P305" s="154"/>
      <c r="Q305" s="96">
        <f>AC305+I305+J305+K305+L305+M305+N305+O305</f>
        <v>31</v>
      </c>
      <c r="R305" s="97">
        <f>IF(C305=2017, Q305/3,Q305)+P305</f>
        <v>31</v>
      </c>
      <c r="U305" s="205"/>
      <c r="V305" s="205"/>
      <c r="W305" s="205"/>
      <c r="X305" s="205"/>
      <c r="Y305" s="120"/>
      <c r="Z305" s="96">
        <f>SUM(U305:X305)</f>
        <v>0</v>
      </c>
      <c r="AA305" s="97">
        <f>IF(C305=2016, Z305/3,Z305)+Y305</f>
        <v>0</v>
      </c>
      <c r="AB305" s="22"/>
      <c r="AC305" s="153"/>
      <c r="AD305" s="153"/>
      <c r="AE305" s="153"/>
      <c r="AF305" s="153"/>
      <c r="AG305" s="153"/>
      <c r="AH305" s="153"/>
      <c r="AI305" s="13"/>
      <c r="AJ305" s="95"/>
      <c r="AK305" s="96"/>
      <c r="AL305" s="97"/>
    </row>
    <row r="306" spans="1:38" x14ac:dyDescent="0.25">
      <c r="A306" s="11" t="s">
        <v>1103</v>
      </c>
      <c r="B306" s="71" t="s">
        <v>1101</v>
      </c>
      <c r="C306" s="62">
        <v>2013</v>
      </c>
      <c r="D306" s="1">
        <f t="shared" si="19"/>
        <v>15</v>
      </c>
      <c r="E306" s="233">
        <f>0+15</f>
        <v>15</v>
      </c>
      <c r="G306" s="154"/>
      <c r="J306" s="205"/>
      <c r="K306" s="205"/>
      <c r="L306" s="205"/>
      <c r="M306" s="205"/>
      <c r="N306" s="205"/>
      <c r="P306" s="154"/>
      <c r="Q306" s="96"/>
      <c r="R306" s="97"/>
      <c r="U306" s="205"/>
      <c r="V306" s="205"/>
      <c r="W306" s="205"/>
      <c r="X306" s="205"/>
      <c r="Y306" s="120"/>
      <c r="Z306" s="96"/>
      <c r="AA306" s="97"/>
      <c r="AB306" s="22"/>
      <c r="AC306" s="233"/>
      <c r="AD306" s="233"/>
      <c r="AE306" s="233"/>
      <c r="AF306" s="233"/>
      <c r="AG306" s="233"/>
      <c r="AH306" s="233"/>
      <c r="AJ306" s="95"/>
      <c r="AK306" s="96"/>
      <c r="AL306" s="97"/>
    </row>
    <row r="307" spans="1:38" x14ac:dyDescent="0.25">
      <c r="A307" s="11" t="s">
        <v>1139</v>
      </c>
      <c r="B307" s="11" t="s">
        <v>1101</v>
      </c>
      <c r="C307" s="3">
        <v>2014</v>
      </c>
      <c r="D307" s="1">
        <f t="shared" si="19"/>
        <v>0</v>
      </c>
      <c r="E307" s="233">
        <f>0</f>
        <v>0</v>
      </c>
      <c r="G307" s="233"/>
      <c r="P307" s="233"/>
      <c r="Y307" s="233"/>
      <c r="AC307" s="233"/>
      <c r="AD307" s="233"/>
      <c r="AE307" s="233"/>
      <c r="AF307" s="233"/>
      <c r="AG307" s="233"/>
      <c r="AH307" s="233"/>
    </row>
    <row r="308" spans="1:38" x14ac:dyDescent="0.25">
      <c r="A308" s="11" t="s">
        <v>1071</v>
      </c>
      <c r="B308" s="71" t="s">
        <v>7</v>
      </c>
      <c r="C308" s="62"/>
      <c r="D308" s="1">
        <f t="shared" si="19"/>
        <v>8</v>
      </c>
      <c r="G308" s="154"/>
      <c r="I308" s="205">
        <f>8</f>
        <v>8</v>
      </c>
      <c r="J308" s="205"/>
      <c r="K308" s="205"/>
      <c r="L308" s="205"/>
      <c r="M308" s="205"/>
      <c r="N308" s="205"/>
      <c r="O308" s="219">
        <f t="shared" ref="O308:O314" si="25">AA308</f>
        <v>0</v>
      </c>
      <c r="P308" s="154"/>
      <c r="Q308" s="96">
        <f t="shared" ref="Q308:Q314" si="26">AC308+I308+J308+K308+L308+M308+N308+O308</f>
        <v>8</v>
      </c>
      <c r="R308" s="97">
        <f t="shared" ref="R308:R314" si="27">IF(C308=2017, Q308/3,Q308)+P308</f>
        <v>8</v>
      </c>
      <c r="U308" s="205"/>
      <c r="V308" s="205"/>
      <c r="W308" s="205"/>
      <c r="X308" s="205"/>
      <c r="Y308" s="120"/>
      <c r="Z308" s="96">
        <f t="shared" ref="Z308:Z314" si="28">SUM(U308:X308)</f>
        <v>0</v>
      </c>
      <c r="AA308" s="97">
        <f t="shared" ref="AA308:AA314" si="29">IF(C308=2016, Z308/3,Z308)+Y308</f>
        <v>0</v>
      </c>
      <c r="AB308" s="22"/>
      <c r="AC308" s="233"/>
      <c r="AD308" s="233"/>
      <c r="AE308" s="233"/>
      <c r="AF308" s="233"/>
      <c r="AG308" s="233"/>
      <c r="AH308" s="233"/>
      <c r="AJ308" s="95"/>
      <c r="AK308" s="96"/>
      <c r="AL308" s="97"/>
    </row>
    <row r="309" spans="1:38" x14ac:dyDescent="0.25">
      <c r="A309" s="11" t="s">
        <v>952</v>
      </c>
      <c r="B309" s="11" t="s">
        <v>63</v>
      </c>
      <c r="D309" s="1">
        <f t="shared" si="19"/>
        <v>20</v>
      </c>
      <c r="F309" s="233"/>
      <c r="G309" s="233"/>
      <c r="H309" s="233"/>
      <c r="I309" s="233"/>
      <c r="J309" s="233">
        <f>20</f>
        <v>20</v>
      </c>
      <c r="K309" s="233"/>
      <c r="L309" s="233"/>
      <c r="M309" s="233"/>
      <c r="N309" s="233"/>
      <c r="O309" s="233">
        <f t="shared" si="25"/>
        <v>0</v>
      </c>
      <c r="P309" s="233"/>
      <c r="Q309" s="96">
        <f t="shared" si="26"/>
        <v>20</v>
      </c>
      <c r="R309" s="97">
        <f t="shared" si="27"/>
        <v>20</v>
      </c>
      <c r="U309" s="233"/>
      <c r="V309" s="233"/>
      <c r="W309" s="233"/>
      <c r="X309" s="233"/>
      <c r="Y309" s="233"/>
      <c r="Z309" s="96">
        <f t="shared" si="28"/>
        <v>0</v>
      </c>
      <c r="AA309" s="97">
        <f t="shared" si="29"/>
        <v>0</v>
      </c>
      <c r="AC309" s="233"/>
      <c r="AD309" s="233"/>
      <c r="AE309" s="233"/>
      <c r="AF309" s="233"/>
      <c r="AG309" s="233"/>
      <c r="AH309" s="233"/>
    </row>
    <row r="310" spans="1:38" x14ac:dyDescent="0.25">
      <c r="A310" s="11" t="s">
        <v>1030</v>
      </c>
      <c r="B310" s="71" t="s">
        <v>86</v>
      </c>
      <c r="C310" s="62">
        <v>2015</v>
      </c>
      <c r="D310" s="1">
        <f t="shared" si="19"/>
        <v>95</v>
      </c>
      <c r="E310" s="233">
        <f>8</f>
        <v>8</v>
      </c>
      <c r="F310" s="233"/>
      <c r="G310" s="154"/>
      <c r="H310" s="233"/>
      <c r="I310" s="233">
        <f>87</f>
        <v>87</v>
      </c>
      <c r="J310" s="233"/>
      <c r="K310" s="233"/>
      <c r="L310" s="233"/>
      <c r="M310" s="233"/>
      <c r="N310" s="233"/>
      <c r="O310" s="233">
        <f t="shared" si="25"/>
        <v>0</v>
      </c>
      <c r="P310" s="154"/>
      <c r="Q310" s="96">
        <f t="shared" si="26"/>
        <v>87</v>
      </c>
      <c r="R310" s="97">
        <f t="shared" si="27"/>
        <v>87</v>
      </c>
      <c r="U310" s="233"/>
      <c r="V310" s="233"/>
      <c r="W310" s="233"/>
      <c r="X310" s="233"/>
      <c r="Y310" s="120"/>
      <c r="Z310" s="96">
        <f t="shared" si="28"/>
        <v>0</v>
      </c>
      <c r="AA310" s="97">
        <f t="shared" si="29"/>
        <v>0</v>
      </c>
      <c r="AB310" s="22"/>
      <c r="AC310" s="233"/>
      <c r="AD310" s="233"/>
      <c r="AE310" s="233"/>
      <c r="AF310" s="233"/>
      <c r="AG310" s="233"/>
      <c r="AH310" s="233"/>
      <c r="AJ310" s="95"/>
      <c r="AK310" s="96"/>
      <c r="AL310" s="97"/>
    </row>
    <row r="311" spans="1:38" x14ac:dyDescent="0.25">
      <c r="A311" s="11" t="s">
        <v>1056</v>
      </c>
      <c r="B311" s="60" t="s">
        <v>86</v>
      </c>
      <c r="C311" s="62">
        <v>2014</v>
      </c>
      <c r="D311" s="1">
        <f t="shared" si="19"/>
        <v>18</v>
      </c>
      <c r="E311" s="233">
        <f>9</f>
        <v>9</v>
      </c>
      <c r="G311" s="154"/>
      <c r="I311" s="205">
        <f>9</f>
        <v>9</v>
      </c>
      <c r="O311" s="219">
        <f t="shared" si="25"/>
        <v>0</v>
      </c>
      <c r="P311" s="154"/>
      <c r="Q311" s="96">
        <f t="shared" si="26"/>
        <v>9</v>
      </c>
      <c r="R311" s="97">
        <f t="shared" si="27"/>
        <v>9</v>
      </c>
      <c r="Y311" s="120"/>
      <c r="Z311" s="96">
        <f t="shared" si="28"/>
        <v>0</v>
      </c>
      <c r="AA311" s="97">
        <f t="shared" si="29"/>
        <v>0</v>
      </c>
      <c r="AB311" s="22"/>
      <c r="AC311" s="153"/>
      <c r="AD311" s="153"/>
      <c r="AE311" s="153"/>
      <c r="AF311" s="153"/>
      <c r="AG311" s="153"/>
      <c r="AH311" s="153"/>
      <c r="AI311" s="13"/>
      <c r="AJ311" s="95"/>
      <c r="AK311" s="96"/>
      <c r="AL311" s="97"/>
    </row>
    <row r="312" spans="1:38" x14ac:dyDescent="0.25">
      <c r="A312" s="11" t="s">
        <v>1048</v>
      </c>
      <c r="B312" s="60" t="s">
        <v>86</v>
      </c>
      <c r="C312" s="62">
        <v>2015</v>
      </c>
      <c r="D312" s="1">
        <f t="shared" si="19"/>
        <v>0</v>
      </c>
      <c r="E312" s="233">
        <f>0</f>
        <v>0</v>
      </c>
      <c r="G312" s="154"/>
      <c r="I312" s="205">
        <f>0</f>
        <v>0</v>
      </c>
      <c r="J312" s="205"/>
      <c r="K312" s="205"/>
      <c r="L312" s="205"/>
      <c r="M312" s="205"/>
      <c r="N312" s="205"/>
      <c r="O312" s="219">
        <f t="shared" si="25"/>
        <v>0</v>
      </c>
      <c r="P312" s="154"/>
      <c r="Q312" s="96">
        <f t="shared" si="26"/>
        <v>0</v>
      </c>
      <c r="R312" s="97">
        <f t="shared" si="27"/>
        <v>0</v>
      </c>
      <c r="U312" s="205"/>
      <c r="V312" s="205"/>
      <c r="W312" s="205"/>
      <c r="X312" s="205"/>
      <c r="Y312" s="120"/>
      <c r="Z312" s="96">
        <f t="shared" si="28"/>
        <v>0</v>
      </c>
      <c r="AA312" s="97">
        <f t="shared" si="29"/>
        <v>0</v>
      </c>
      <c r="AB312" s="22"/>
      <c r="AC312" s="153"/>
      <c r="AD312" s="153"/>
      <c r="AE312" s="153"/>
      <c r="AF312" s="153"/>
      <c r="AG312" s="153"/>
      <c r="AH312" s="153"/>
      <c r="AI312" s="13"/>
      <c r="AJ312" s="95"/>
      <c r="AK312" s="96"/>
      <c r="AL312" s="97"/>
    </row>
    <row r="313" spans="1:38" x14ac:dyDescent="0.25">
      <c r="A313" s="11" t="s">
        <v>1045</v>
      </c>
      <c r="B313" s="60" t="s">
        <v>86</v>
      </c>
      <c r="C313" s="62">
        <v>2015</v>
      </c>
      <c r="D313" s="1">
        <f t="shared" si="19"/>
        <v>0</v>
      </c>
      <c r="E313" s="233">
        <f>0</f>
        <v>0</v>
      </c>
      <c r="F313" s="233"/>
      <c r="G313" s="154"/>
      <c r="H313" s="233"/>
      <c r="I313" s="233">
        <f>0</f>
        <v>0</v>
      </c>
      <c r="J313" s="233"/>
      <c r="K313" s="233"/>
      <c r="L313" s="233"/>
      <c r="M313" s="233"/>
      <c r="N313" s="233"/>
      <c r="O313" s="219">
        <f t="shared" si="25"/>
        <v>0</v>
      </c>
      <c r="P313" s="154"/>
      <c r="Q313" s="96">
        <f t="shared" si="26"/>
        <v>0</v>
      </c>
      <c r="R313" s="97">
        <f t="shared" si="27"/>
        <v>0</v>
      </c>
      <c r="U313" s="233"/>
      <c r="V313" s="233"/>
      <c r="W313" s="233"/>
      <c r="X313" s="233"/>
      <c r="Y313" s="241"/>
      <c r="Z313" s="96">
        <f t="shared" si="28"/>
        <v>0</v>
      </c>
      <c r="AA313" s="97">
        <f t="shared" si="29"/>
        <v>0</v>
      </c>
      <c r="AB313" s="22"/>
      <c r="AC313" s="153"/>
      <c r="AD313" s="153"/>
      <c r="AE313" s="153"/>
      <c r="AF313" s="153"/>
      <c r="AG313" s="153"/>
      <c r="AH313" s="153"/>
      <c r="AI313" s="17"/>
      <c r="AJ313" s="95"/>
      <c r="AK313" s="96"/>
      <c r="AL313" s="97"/>
    </row>
    <row r="314" spans="1:38" x14ac:dyDescent="0.25">
      <c r="A314" s="11" t="s">
        <v>1034</v>
      </c>
      <c r="B314" s="60" t="s">
        <v>86</v>
      </c>
      <c r="C314" s="62">
        <v>2014</v>
      </c>
      <c r="D314" s="1">
        <f t="shared" ref="D314:D339" si="30">R314+F314+E314</f>
        <v>54</v>
      </c>
      <c r="E314" s="233">
        <f>0</f>
        <v>0</v>
      </c>
      <c r="F314" s="233"/>
      <c r="G314" s="154"/>
      <c r="H314" s="233"/>
      <c r="I314" s="233">
        <f>54</f>
        <v>54</v>
      </c>
      <c r="J314" s="233"/>
      <c r="K314" s="233"/>
      <c r="L314" s="233"/>
      <c r="M314" s="233"/>
      <c r="N314" s="233"/>
      <c r="O314" s="233">
        <f t="shared" si="25"/>
        <v>0</v>
      </c>
      <c r="P314" s="154"/>
      <c r="Q314" s="96">
        <f t="shared" si="26"/>
        <v>54</v>
      </c>
      <c r="R314" s="97">
        <f t="shared" si="27"/>
        <v>54</v>
      </c>
      <c r="U314" s="233"/>
      <c r="V314" s="233"/>
      <c r="W314" s="233"/>
      <c r="X314" s="233"/>
      <c r="Y314" s="120"/>
      <c r="Z314" s="96">
        <f t="shared" si="28"/>
        <v>0</v>
      </c>
      <c r="AA314" s="97">
        <f t="shared" si="29"/>
        <v>0</v>
      </c>
      <c r="AB314" s="22"/>
      <c r="AC314" s="153"/>
      <c r="AD314" s="153"/>
      <c r="AE314" s="153"/>
      <c r="AF314" s="153"/>
      <c r="AG314" s="153"/>
      <c r="AH314" s="153"/>
      <c r="AI314" s="13"/>
      <c r="AJ314" s="95"/>
      <c r="AK314" s="96"/>
      <c r="AL314" s="97"/>
    </row>
    <row r="315" spans="1:38" x14ac:dyDescent="0.25">
      <c r="A315" s="11" t="s">
        <v>1105</v>
      </c>
      <c r="B315" s="60" t="s">
        <v>6</v>
      </c>
      <c r="C315" s="62">
        <v>2014</v>
      </c>
      <c r="D315" s="1">
        <f t="shared" si="30"/>
        <v>54</v>
      </c>
      <c r="E315" s="233">
        <f>41+13</f>
        <v>54</v>
      </c>
      <c r="F315" s="233"/>
      <c r="G315" s="154"/>
      <c r="H315" s="233"/>
      <c r="I315" s="233"/>
      <c r="J315" s="233"/>
      <c r="K315" s="233"/>
      <c r="L315" s="233"/>
      <c r="M315" s="233"/>
      <c r="N315" s="233"/>
      <c r="P315" s="154"/>
      <c r="Q315" s="96"/>
      <c r="R315" s="97"/>
      <c r="U315" s="233"/>
      <c r="V315" s="233"/>
      <c r="W315" s="233"/>
      <c r="X315" s="233"/>
      <c r="Y315" s="120"/>
      <c r="Z315" s="96"/>
      <c r="AA315" s="97"/>
      <c r="AB315" s="22"/>
      <c r="AC315" s="153"/>
      <c r="AD315" s="153"/>
      <c r="AE315" s="153"/>
      <c r="AF315" s="153"/>
      <c r="AG315" s="153"/>
      <c r="AH315" s="153"/>
      <c r="AI315" s="13"/>
      <c r="AJ315" s="95"/>
      <c r="AK315" s="96"/>
      <c r="AL315" s="97"/>
    </row>
    <row r="316" spans="1:38" x14ac:dyDescent="0.25">
      <c r="A316" s="11" t="s">
        <v>1110</v>
      </c>
      <c r="B316" s="60" t="s">
        <v>7</v>
      </c>
      <c r="C316" s="62">
        <v>2016</v>
      </c>
      <c r="D316" s="1">
        <f t="shared" si="30"/>
        <v>24</v>
      </c>
      <c r="E316" s="233">
        <f>24</f>
        <v>24</v>
      </c>
      <c r="F316" s="233"/>
      <c r="G316" s="154"/>
      <c r="H316" s="233"/>
      <c r="I316" s="233"/>
      <c r="J316" s="233"/>
      <c r="K316" s="233"/>
      <c r="L316" s="233"/>
      <c r="M316" s="233"/>
      <c r="N316" s="233"/>
      <c r="O316" s="233"/>
      <c r="P316" s="154"/>
      <c r="Q316" s="96"/>
      <c r="R316" s="97"/>
      <c r="U316" s="233"/>
      <c r="V316" s="233"/>
      <c r="W316" s="233"/>
      <c r="X316" s="233"/>
      <c r="Y316" s="120"/>
      <c r="Z316" s="96"/>
      <c r="AA316" s="97"/>
      <c r="AB316" s="22"/>
      <c r="AC316" s="153"/>
      <c r="AD316" s="153"/>
      <c r="AE316" s="153"/>
      <c r="AF316" s="153"/>
      <c r="AG316" s="153"/>
      <c r="AH316" s="153"/>
      <c r="AI316" s="13"/>
      <c r="AJ316" s="95"/>
      <c r="AK316" s="96"/>
      <c r="AL316" s="97"/>
    </row>
    <row r="317" spans="1:38" x14ac:dyDescent="0.25">
      <c r="A317" s="11" t="s">
        <v>1046</v>
      </c>
      <c r="B317" s="60" t="s">
        <v>86</v>
      </c>
      <c r="C317" s="62">
        <v>2013</v>
      </c>
      <c r="D317" s="1">
        <f t="shared" si="30"/>
        <v>0</v>
      </c>
      <c r="F317" s="233"/>
      <c r="G317" s="154"/>
      <c r="H317" s="233"/>
      <c r="I317" s="233">
        <f>0</f>
        <v>0</v>
      </c>
      <c r="J317" s="233"/>
      <c r="K317" s="233"/>
      <c r="L317" s="233"/>
      <c r="M317" s="233"/>
      <c r="N317" s="233"/>
      <c r="O317" s="233">
        <f>AA317</f>
        <v>0</v>
      </c>
      <c r="P317" s="154"/>
      <c r="Q317" s="96">
        <f>AC317+I317+J317+K317+L317+M317+N317+O317</f>
        <v>0</v>
      </c>
      <c r="R317" s="97">
        <f>IF(C317=2017, Q317/3,Q317)+P317</f>
        <v>0</v>
      </c>
      <c r="U317" s="233"/>
      <c r="V317" s="233"/>
      <c r="W317" s="233"/>
      <c r="X317" s="233"/>
      <c r="Y317" s="120"/>
      <c r="Z317" s="96">
        <f>SUM(U317:X317)</f>
        <v>0</v>
      </c>
      <c r="AA317" s="97">
        <f>IF(C317=2016, Z317/3,Z317)+Y317</f>
        <v>0</v>
      </c>
      <c r="AB317" s="22"/>
      <c r="AC317" s="153"/>
      <c r="AD317" s="153"/>
      <c r="AE317" s="153"/>
      <c r="AF317" s="153"/>
      <c r="AG317" s="153"/>
      <c r="AH317" s="153"/>
      <c r="AI317" s="13"/>
      <c r="AJ317" s="95"/>
      <c r="AK317" s="96"/>
      <c r="AL317" s="97"/>
    </row>
    <row r="318" spans="1:38" x14ac:dyDescent="0.25">
      <c r="A318" s="11" t="s">
        <v>963</v>
      </c>
      <c r="B318" s="60" t="s">
        <v>948</v>
      </c>
      <c r="C318" s="62">
        <v>2014</v>
      </c>
      <c r="D318" s="1">
        <f t="shared" si="30"/>
        <v>2</v>
      </c>
      <c r="G318" s="154"/>
      <c r="J318" s="205">
        <f>0+2</f>
        <v>2</v>
      </c>
      <c r="K318" s="205"/>
      <c r="L318" s="205"/>
      <c r="M318" s="205"/>
      <c r="N318" s="205"/>
      <c r="O318" s="219">
        <f>AA318</f>
        <v>0</v>
      </c>
      <c r="P318" s="154"/>
      <c r="Q318" s="96">
        <f>AC318+I318+J318+K318+L318+M318+N318+O318</f>
        <v>2</v>
      </c>
      <c r="R318" s="97">
        <f>IF(C318=2017, Q318/3,Q318)+P318</f>
        <v>2</v>
      </c>
      <c r="U318" s="205"/>
      <c r="V318" s="205"/>
      <c r="W318" s="205"/>
      <c r="X318" s="205"/>
      <c r="Y318" s="120"/>
      <c r="Z318" s="96">
        <f>SUM(U318:X318)</f>
        <v>0</v>
      </c>
      <c r="AA318" s="97">
        <f>IF(C318=2016, Z318/3,Z318)+Y318</f>
        <v>0</v>
      </c>
      <c r="AB318" s="22"/>
      <c r="AC318" s="153"/>
      <c r="AD318" s="153"/>
      <c r="AE318" s="153"/>
      <c r="AF318" s="153"/>
      <c r="AG318" s="153"/>
      <c r="AH318" s="153"/>
      <c r="AI318" s="13"/>
      <c r="AJ318" s="95"/>
      <c r="AK318" s="96"/>
      <c r="AL318" s="97"/>
    </row>
    <row r="319" spans="1:38" x14ac:dyDescent="0.25">
      <c r="A319" s="45" t="s">
        <v>1152</v>
      </c>
      <c r="B319" s="66" t="s">
        <v>479</v>
      </c>
      <c r="C319" s="46">
        <v>2013</v>
      </c>
      <c r="D319" s="1">
        <f t="shared" si="30"/>
        <v>0</v>
      </c>
      <c r="E319" s="108">
        <f>0</f>
        <v>0</v>
      </c>
      <c r="F319" s="108"/>
      <c r="G319" s="101"/>
      <c r="H319" s="108"/>
      <c r="I319" s="108"/>
      <c r="J319" s="108"/>
      <c r="K319" s="108"/>
      <c r="L319" s="108"/>
      <c r="M319" s="108"/>
      <c r="N319" s="108"/>
      <c r="O319" s="233"/>
      <c r="P319" s="101"/>
      <c r="Q319" s="96"/>
      <c r="R319" s="97"/>
      <c r="U319" s="108"/>
      <c r="V319" s="108"/>
      <c r="W319" s="108"/>
      <c r="X319" s="122"/>
      <c r="Y319" s="74"/>
      <c r="Z319" s="96"/>
      <c r="AA319" s="97"/>
      <c r="AB319" s="41"/>
      <c r="AC319" s="41"/>
      <c r="AD319" s="41"/>
      <c r="AE319" s="41"/>
      <c r="AF319" s="41"/>
      <c r="AG319" s="41"/>
      <c r="AH319" s="41"/>
      <c r="AI319" s="74"/>
    </row>
    <row r="320" spans="1:38" x14ac:dyDescent="0.25">
      <c r="A320" s="45" t="s">
        <v>1128</v>
      </c>
      <c r="B320" s="66" t="s">
        <v>86</v>
      </c>
      <c r="C320" s="46">
        <v>2013</v>
      </c>
      <c r="D320" s="1">
        <f t="shared" si="30"/>
        <v>0</v>
      </c>
      <c r="E320" s="108">
        <f>0</f>
        <v>0</v>
      </c>
      <c r="F320" s="108"/>
      <c r="G320" s="101"/>
      <c r="H320" s="108"/>
      <c r="I320" s="108"/>
      <c r="J320" s="108"/>
      <c r="K320" s="108"/>
      <c r="L320" s="108"/>
      <c r="M320" s="108"/>
      <c r="N320" s="108"/>
      <c r="P320" s="101"/>
      <c r="Q320" s="96"/>
      <c r="R320" s="97"/>
      <c r="U320" s="108"/>
      <c r="V320" s="108"/>
      <c r="W320" s="108"/>
      <c r="X320" s="122"/>
      <c r="Y320" s="74"/>
      <c r="Z320" s="96"/>
      <c r="AA320" s="97"/>
      <c r="AB320" s="41"/>
      <c r="AC320" s="41"/>
      <c r="AD320" s="41"/>
      <c r="AE320" s="41"/>
      <c r="AF320" s="41"/>
      <c r="AG320" s="41"/>
      <c r="AH320" s="41"/>
      <c r="AI320" s="74"/>
    </row>
    <row r="321" spans="1:38" x14ac:dyDescent="0.25">
      <c r="A321" s="45" t="s">
        <v>955</v>
      </c>
      <c r="B321" s="66" t="s">
        <v>0</v>
      </c>
      <c r="C321" s="46">
        <v>2014</v>
      </c>
      <c r="D321" s="1">
        <f t="shared" si="30"/>
        <v>87</v>
      </c>
      <c r="E321" s="108">
        <f>32</f>
        <v>32</v>
      </c>
      <c r="F321" s="108"/>
      <c r="G321" s="101"/>
      <c r="H321" s="108"/>
      <c r="I321" s="108">
        <f>39</f>
        <v>39</v>
      </c>
      <c r="J321" s="108">
        <f>16</f>
        <v>16</v>
      </c>
      <c r="K321" s="108"/>
      <c r="L321" s="108"/>
      <c r="M321" s="108"/>
      <c r="N321" s="108"/>
      <c r="O321" s="219">
        <f>AA321</f>
        <v>0</v>
      </c>
      <c r="P321" s="101"/>
      <c r="Q321" s="96">
        <f>AC321+I321+J321+K321+L321+M321+N321+O321</f>
        <v>55</v>
      </c>
      <c r="R321" s="97">
        <f>IF(C321=2017, Q321/3,Q321)+P321</f>
        <v>55</v>
      </c>
      <c r="U321" s="108"/>
      <c r="V321" s="108"/>
      <c r="W321" s="108"/>
      <c r="X321" s="122"/>
      <c r="Y321" s="74"/>
      <c r="Z321" s="96">
        <f>SUM(U321:X321)</f>
        <v>0</v>
      </c>
      <c r="AA321" s="97">
        <f>IF(C321=2016, Z321/3,Z321)+Y321</f>
        <v>0</v>
      </c>
      <c r="AB321" s="41"/>
      <c r="AC321" s="41"/>
      <c r="AD321" s="41"/>
      <c r="AE321" s="41"/>
      <c r="AF321" s="41"/>
      <c r="AG321" s="41"/>
      <c r="AH321" s="41"/>
      <c r="AI321" s="74"/>
    </row>
    <row r="322" spans="1:38" x14ac:dyDescent="0.25">
      <c r="A322" s="45" t="s">
        <v>1150</v>
      </c>
      <c r="B322" s="66" t="s">
        <v>479</v>
      </c>
      <c r="C322" s="46">
        <v>2015</v>
      </c>
      <c r="D322" s="1">
        <f t="shared" si="30"/>
        <v>0</v>
      </c>
      <c r="E322" s="108">
        <f>0</f>
        <v>0</v>
      </c>
      <c r="F322" s="108"/>
      <c r="G322" s="101"/>
      <c r="H322" s="108"/>
      <c r="I322" s="108"/>
      <c r="J322" s="108"/>
      <c r="K322" s="108"/>
      <c r="L322" s="108"/>
      <c r="M322" s="108"/>
      <c r="N322" s="108"/>
      <c r="O322" s="233"/>
      <c r="P322" s="101"/>
      <c r="Q322" s="96"/>
      <c r="R322" s="97"/>
      <c r="U322" s="108"/>
      <c r="V322" s="108"/>
      <c r="W322" s="108"/>
      <c r="X322" s="122"/>
      <c r="Y322" s="74"/>
      <c r="Z322" s="96"/>
      <c r="AA322" s="97"/>
      <c r="AB322" s="41"/>
      <c r="AC322" s="41"/>
      <c r="AD322" s="41"/>
      <c r="AE322" s="41"/>
      <c r="AF322" s="41"/>
      <c r="AG322" s="41"/>
      <c r="AH322" s="41"/>
      <c r="AI322" s="74"/>
    </row>
    <row r="323" spans="1:38" x14ac:dyDescent="0.25">
      <c r="A323" s="45" t="s">
        <v>1125</v>
      </c>
      <c r="B323" s="66" t="s">
        <v>86</v>
      </c>
      <c r="C323" s="46">
        <v>2015</v>
      </c>
      <c r="D323" s="1">
        <f t="shared" si="30"/>
        <v>10</v>
      </c>
      <c r="E323" s="108">
        <f>0+10</f>
        <v>10</v>
      </c>
      <c r="F323" s="108"/>
      <c r="G323" s="101"/>
      <c r="H323" s="108"/>
      <c r="I323" s="108"/>
      <c r="J323" s="108"/>
      <c r="K323" s="108"/>
      <c r="L323" s="108"/>
      <c r="M323" s="108"/>
      <c r="N323" s="108"/>
      <c r="P323" s="101"/>
      <c r="Q323" s="96"/>
      <c r="R323" s="97"/>
      <c r="U323" s="108"/>
      <c r="V323" s="108"/>
      <c r="W323" s="108"/>
      <c r="X323" s="122"/>
      <c r="Y323" s="74"/>
      <c r="Z323" s="96"/>
      <c r="AA323" s="97"/>
      <c r="AB323" s="41"/>
      <c r="AC323" s="41"/>
      <c r="AD323" s="41"/>
      <c r="AE323" s="41"/>
      <c r="AF323" s="41"/>
      <c r="AG323" s="41"/>
      <c r="AH323" s="41"/>
      <c r="AI323" s="74"/>
    </row>
    <row r="324" spans="1:38" x14ac:dyDescent="0.25">
      <c r="A324" s="45" t="s">
        <v>1119</v>
      </c>
      <c r="B324" s="66" t="s">
        <v>86</v>
      </c>
      <c r="C324" s="46">
        <v>2014</v>
      </c>
      <c r="D324" s="1">
        <f t="shared" si="30"/>
        <v>9</v>
      </c>
      <c r="E324" s="108">
        <f>9</f>
        <v>9</v>
      </c>
      <c r="F324" s="108"/>
      <c r="G324" s="101"/>
      <c r="H324" s="108"/>
      <c r="I324" s="108"/>
      <c r="J324" s="108"/>
      <c r="K324" s="108"/>
      <c r="L324" s="108"/>
      <c r="M324" s="108"/>
      <c r="N324" s="108"/>
      <c r="P324" s="101"/>
      <c r="Q324" s="96"/>
      <c r="R324" s="97"/>
      <c r="U324" s="108"/>
      <c r="V324" s="108"/>
      <c r="W324" s="108"/>
      <c r="X324" s="122"/>
      <c r="Y324" s="74"/>
      <c r="Z324" s="96"/>
      <c r="AA324" s="97"/>
      <c r="AB324" s="41"/>
      <c r="AC324" s="41"/>
      <c r="AD324" s="41"/>
      <c r="AE324" s="41"/>
      <c r="AF324" s="41"/>
      <c r="AG324" s="41"/>
      <c r="AH324" s="41"/>
      <c r="AI324" s="74"/>
    </row>
    <row r="325" spans="1:38" x14ac:dyDescent="0.25">
      <c r="A325" s="11" t="s">
        <v>1049</v>
      </c>
      <c r="B325" s="60" t="s">
        <v>86</v>
      </c>
      <c r="C325" s="62">
        <v>2014</v>
      </c>
      <c r="D325" s="1">
        <f t="shared" si="30"/>
        <v>0</v>
      </c>
      <c r="F325" s="233"/>
      <c r="G325" s="154"/>
      <c r="H325" s="233"/>
      <c r="I325" s="233">
        <f>0</f>
        <v>0</v>
      </c>
      <c r="J325" s="233"/>
      <c r="K325" s="233"/>
      <c r="L325" s="233"/>
      <c r="M325" s="233"/>
      <c r="N325" s="233"/>
      <c r="O325" s="219">
        <f t="shared" ref="O325:O329" si="31">AA325</f>
        <v>0</v>
      </c>
      <c r="P325" s="154"/>
      <c r="Q325" s="96">
        <f t="shared" ref="Q325:Q329" si="32">AC325+I325+J325+K325+L325+M325+N325+O325</f>
        <v>0</v>
      </c>
      <c r="R325" s="97">
        <f t="shared" ref="R325:R329" si="33">IF(C325=2017, Q325/3,Q325)+P325</f>
        <v>0</v>
      </c>
      <c r="U325" s="205"/>
      <c r="V325" s="205"/>
      <c r="W325" s="205"/>
      <c r="X325" s="205"/>
      <c r="Y325" s="120"/>
      <c r="Z325" s="96">
        <f t="shared" ref="Z325:Z329" si="34">SUM(U325:X325)</f>
        <v>0</v>
      </c>
      <c r="AA325" s="97">
        <f t="shared" ref="AA325:AA329" si="35">IF(C325=2016, Z325/3,Z325)+Y325</f>
        <v>0</v>
      </c>
      <c r="AB325" s="22"/>
      <c r="AC325" s="233"/>
      <c r="AD325" s="233"/>
      <c r="AE325" s="233"/>
      <c r="AF325" s="233"/>
      <c r="AG325" s="233"/>
      <c r="AH325" s="233"/>
      <c r="AJ325" s="95"/>
      <c r="AK325" s="96"/>
      <c r="AL325" s="97"/>
    </row>
    <row r="326" spans="1:38" x14ac:dyDescent="0.25">
      <c r="A326" s="71" t="s">
        <v>1009</v>
      </c>
      <c r="B326" s="71" t="s">
        <v>86</v>
      </c>
      <c r="C326" s="72">
        <v>2014</v>
      </c>
      <c r="D326" s="1">
        <f t="shared" si="30"/>
        <v>6</v>
      </c>
      <c r="F326" s="233"/>
      <c r="G326" s="154"/>
      <c r="H326" s="233"/>
      <c r="I326" s="233">
        <f>0+6</f>
        <v>6</v>
      </c>
      <c r="J326" s="233"/>
      <c r="K326" s="233"/>
      <c r="L326" s="233"/>
      <c r="M326" s="233"/>
      <c r="N326" s="233"/>
      <c r="O326" s="219">
        <f t="shared" si="31"/>
        <v>0</v>
      </c>
      <c r="P326" s="154"/>
      <c r="Q326" s="96">
        <f t="shared" si="32"/>
        <v>6</v>
      </c>
      <c r="R326" s="97">
        <f t="shared" si="33"/>
        <v>6</v>
      </c>
      <c r="U326" s="205"/>
      <c r="V326" s="205"/>
      <c r="W326" s="205"/>
      <c r="X326" s="205"/>
      <c r="Y326" s="120"/>
      <c r="Z326" s="96">
        <f t="shared" si="34"/>
        <v>0</v>
      </c>
      <c r="AA326" s="97">
        <f t="shared" si="35"/>
        <v>0</v>
      </c>
      <c r="AB326" s="22"/>
      <c r="AC326" s="233"/>
      <c r="AD326" s="233"/>
      <c r="AE326" s="233"/>
      <c r="AF326" s="233"/>
      <c r="AG326" s="233"/>
      <c r="AH326" s="233"/>
      <c r="AJ326" s="95"/>
      <c r="AK326" s="96"/>
      <c r="AL326" s="97"/>
    </row>
    <row r="327" spans="1:38" x14ac:dyDescent="0.25">
      <c r="A327" s="45" t="s">
        <v>997</v>
      </c>
      <c r="B327" s="66" t="s">
        <v>86</v>
      </c>
      <c r="C327" s="46">
        <v>2017</v>
      </c>
      <c r="D327" s="1">
        <f t="shared" si="30"/>
        <v>32.666666666666664</v>
      </c>
      <c r="E327" s="108">
        <f>23+8</f>
        <v>31</v>
      </c>
      <c r="F327" s="108"/>
      <c r="G327" s="122"/>
      <c r="H327" s="108"/>
      <c r="I327" s="108">
        <f>5</f>
        <v>5</v>
      </c>
      <c r="J327" s="108"/>
      <c r="K327" s="108"/>
      <c r="L327" s="108"/>
      <c r="M327" s="108"/>
      <c r="N327" s="108"/>
      <c r="O327" s="219">
        <f t="shared" si="31"/>
        <v>0</v>
      </c>
      <c r="P327" s="122"/>
      <c r="Q327" s="96">
        <f t="shared" si="32"/>
        <v>5</v>
      </c>
      <c r="R327" s="97">
        <f t="shared" si="33"/>
        <v>1.6666666666666667</v>
      </c>
      <c r="S327" s="101"/>
      <c r="T327" s="108"/>
      <c r="U327" s="108"/>
      <c r="V327" s="108"/>
      <c r="W327" s="108"/>
      <c r="X327" s="108"/>
      <c r="Y327" s="122"/>
      <c r="Z327" s="96">
        <f t="shared" si="34"/>
        <v>0</v>
      </c>
      <c r="AA327" s="97">
        <f t="shared" si="35"/>
        <v>0</v>
      </c>
      <c r="AB327" s="101"/>
      <c r="AC327" s="41"/>
      <c r="AD327" s="41"/>
      <c r="AE327" s="41"/>
      <c r="AF327" s="41"/>
      <c r="AG327" s="41"/>
      <c r="AH327" s="41"/>
      <c r="AI327" s="232"/>
    </row>
    <row r="328" spans="1:38" x14ac:dyDescent="0.25">
      <c r="A328" s="71" t="s">
        <v>1033</v>
      </c>
      <c r="B328" s="71" t="s">
        <v>86</v>
      </c>
      <c r="C328" s="72">
        <v>2015</v>
      </c>
      <c r="D328" s="1">
        <f t="shared" si="30"/>
        <v>62</v>
      </c>
      <c r="E328" s="233">
        <f>8</f>
        <v>8</v>
      </c>
      <c r="G328" s="154"/>
      <c r="I328" s="205">
        <f>54</f>
        <v>54</v>
      </c>
      <c r="J328" s="205"/>
      <c r="K328" s="205"/>
      <c r="L328" s="205"/>
      <c r="M328" s="205"/>
      <c r="N328" s="205"/>
      <c r="O328" s="219">
        <f t="shared" si="31"/>
        <v>0</v>
      </c>
      <c r="P328" s="154"/>
      <c r="Q328" s="96">
        <f t="shared" si="32"/>
        <v>54</v>
      </c>
      <c r="R328" s="97">
        <f t="shared" si="33"/>
        <v>54</v>
      </c>
      <c r="U328" s="205"/>
      <c r="V328" s="205"/>
      <c r="W328" s="205"/>
      <c r="X328" s="205"/>
      <c r="Y328" s="120"/>
      <c r="Z328" s="96">
        <f t="shared" si="34"/>
        <v>0</v>
      </c>
      <c r="AA328" s="97">
        <f t="shared" si="35"/>
        <v>0</v>
      </c>
      <c r="AB328" s="22"/>
      <c r="AC328" s="233"/>
      <c r="AD328" s="233"/>
      <c r="AE328" s="233"/>
      <c r="AF328" s="233"/>
      <c r="AG328" s="233"/>
      <c r="AH328" s="233"/>
      <c r="AJ328" s="95"/>
      <c r="AK328" s="96"/>
      <c r="AL328" s="97"/>
    </row>
    <row r="329" spans="1:38" x14ac:dyDescent="0.25">
      <c r="A329" s="45" t="s">
        <v>1038</v>
      </c>
      <c r="B329" s="66" t="s">
        <v>86</v>
      </c>
      <c r="C329" s="46">
        <v>2014</v>
      </c>
      <c r="D329" s="1">
        <f t="shared" si="30"/>
        <v>33</v>
      </c>
      <c r="E329" s="156"/>
      <c r="F329" s="156"/>
      <c r="G329" s="154"/>
      <c r="H329" s="156"/>
      <c r="I329" s="156">
        <f>33</f>
        <v>33</v>
      </c>
      <c r="J329" s="156"/>
      <c r="K329" s="156"/>
      <c r="L329" s="156"/>
      <c r="M329" s="156"/>
      <c r="N329" s="156"/>
      <c r="O329" s="219">
        <f t="shared" si="31"/>
        <v>0</v>
      </c>
      <c r="P329" s="154"/>
      <c r="Q329" s="96">
        <f t="shared" si="32"/>
        <v>33</v>
      </c>
      <c r="R329" s="97">
        <f t="shared" si="33"/>
        <v>33</v>
      </c>
      <c r="U329" s="170"/>
      <c r="V329" s="170"/>
      <c r="W329" s="170"/>
      <c r="X329" s="170"/>
      <c r="Y329" s="120"/>
      <c r="Z329" s="96">
        <f t="shared" si="34"/>
        <v>0</v>
      </c>
      <c r="AA329" s="97">
        <f t="shared" si="35"/>
        <v>0</v>
      </c>
      <c r="AB329" s="101"/>
      <c r="AC329" s="153"/>
      <c r="AD329" s="153"/>
      <c r="AE329" s="153"/>
      <c r="AF329" s="153"/>
      <c r="AG329" s="153"/>
      <c r="AH329" s="153"/>
      <c r="AI329" s="232"/>
      <c r="AJ329" s="95"/>
      <c r="AK329" s="96"/>
      <c r="AL329" s="97"/>
    </row>
    <row r="330" spans="1:38" x14ac:dyDescent="0.25">
      <c r="A330" s="45" t="s">
        <v>1127</v>
      </c>
      <c r="B330" s="66" t="s">
        <v>86</v>
      </c>
      <c r="C330" s="46">
        <v>2015</v>
      </c>
      <c r="D330" s="1">
        <f t="shared" si="30"/>
        <v>0</v>
      </c>
      <c r="E330" s="156">
        <f>0</f>
        <v>0</v>
      </c>
      <c r="F330" s="156"/>
      <c r="G330" s="154"/>
      <c r="H330" s="156"/>
      <c r="I330" s="156"/>
      <c r="J330" s="156"/>
      <c r="K330" s="156"/>
      <c r="L330" s="156"/>
      <c r="M330" s="156"/>
      <c r="N330" s="156"/>
      <c r="O330" s="233"/>
      <c r="P330" s="154"/>
      <c r="Q330" s="96"/>
      <c r="R330" s="97"/>
      <c r="U330" s="233"/>
      <c r="V330" s="233"/>
      <c r="W330" s="233"/>
      <c r="X330" s="233"/>
      <c r="Y330" s="120"/>
      <c r="Z330" s="96"/>
      <c r="AA330" s="97"/>
      <c r="AB330" s="101"/>
      <c r="AC330" s="153"/>
      <c r="AD330" s="153"/>
      <c r="AE330" s="153"/>
      <c r="AF330" s="153"/>
      <c r="AG330" s="153"/>
      <c r="AH330" s="153"/>
      <c r="AI330" s="232"/>
      <c r="AJ330" s="95"/>
      <c r="AK330" s="96"/>
      <c r="AL330" s="97"/>
    </row>
    <row r="331" spans="1:38" x14ac:dyDescent="0.25">
      <c r="A331" s="45" t="s">
        <v>1121</v>
      </c>
      <c r="B331" s="66" t="s">
        <v>86</v>
      </c>
      <c r="C331" s="46">
        <v>2015</v>
      </c>
      <c r="D331" s="1">
        <f t="shared" si="30"/>
        <v>9</v>
      </c>
      <c r="E331" s="156">
        <f>9</f>
        <v>9</v>
      </c>
      <c r="F331" s="156"/>
      <c r="G331" s="154"/>
      <c r="H331" s="156"/>
      <c r="I331" s="156"/>
      <c r="J331" s="156"/>
      <c r="K331" s="156"/>
      <c r="L331" s="156"/>
      <c r="M331" s="156"/>
      <c r="N331" s="156"/>
      <c r="P331" s="154"/>
      <c r="Q331" s="96"/>
      <c r="R331" s="97"/>
      <c r="Y331" s="120"/>
      <c r="Z331" s="96"/>
      <c r="AA331" s="97"/>
      <c r="AB331" s="101"/>
      <c r="AC331" s="153"/>
      <c r="AD331" s="153"/>
      <c r="AE331" s="153"/>
      <c r="AF331" s="153"/>
      <c r="AG331" s="153"/>
      <c r="AH331" s="153"/>
      <c r="AI331" s="232"/>
      <c r="AJ331" s="95"/>
      <c r="AK331" s="96"/>
      <c r="AL331" s="97"/>
    </row>
    <row r="332" spans="1:38" x14ac:dyDescent="0.25">
      <c r="A332" s="45" t="s">
        <v>1143</v>
      </c>
      <c r="B332" s="66" t="s">
        <v>479</v>
      </c>
      <c r="C332" s="46">
        <v>2013</v>
      </c>
      <c r="D332" s="1">
        <f t="shared" si="30"/>
        <v>10</v>
      </c>
      <c r="E332" s="156">
        <f>10</f>
        <v>10</v>
      </c>
      <c r="F332" s="156"/>
      <c r="G332" s="154"/>
      <c r="H332" s="156"/>
      <c r="I332" s="156"/>
      <c r="J332" s="156"/>
      <c r="K332" s="156"/>
      <c r="L332" s="156"/>
      <c r="M332" s="156"/>
      <c r="N332" s="156"/>
      <c r="O332" s="233"/>
      <c r="P332" s="154"/>
      <c r="Q332" s="96"/>
      <c r="R332" s="97"/>
      <c r="U332" s="233"/>
      <c r="V332" s="233"/>
      <c r="W332" s="233"/>
      <c r="X332" s="233"/>
      <c r="Y332" s="120"/>
      <c r="Z332" s="96"/>
      <c r="AA332" s="97"/>
      <c r="AB332" s="101"/>
      <c r="AC332" s="153"/>
      <c r="AD332" s="153"/>
      <c r="AE332" s="153"/>
      <c r="AF332" s="153"/>
      <c r="AG332" s="153"/>
      <c r="AH332" s="153"/>
      <c r="AI332" s="232"/>
      <c r="AJ332" s="95"/>
      <c r="AK332" s="96"/>
      <c r="AL332" s="97"/>
    </row>
    <row r="333" spans="1:38" x14ac:dyDescent="0.25">
      <c r="A333" s="11" t="s">
        <v>1012</v>
      </c>
      <c r="B333" s="60" t="s">
        <v>86</v>
      </c>
      <c r="C333" s="62">
        <v>2013</v>
      </c>
      <c r="D333" s="1">
        <f t="shared" si="30"/>
        <v>15</v>
      </c>
      <c r="E333" s="233">
        <f>15</f>
        <v>15</v>
      </c>
      <c r="G333" s="154"/>
      <c r="I333" s="205">
        <f>0</f>
        <v>0</v>
      </c>
      <c r="J333" s="205"/>
      <c r="K333" s="205"/>
      <c r="L333" s="205"/>
      <c r="M333" s="205"/>
      <c r="N333" s="205"/>
      <c r="O333" s="219">
        <f>AA333</f>
        <v>0</v>
      </c>
      <c r="P333" s="154"/>
      <c r="Q333" s="96">
        <f>AC333+I333+J333+K333+L333+M333+N333+O333</f>
        <v>0</v>
      </c>
      <c r="R333" s="97">
        <f>IF(C333=2017, Q333/3,Q333)+P333</f>
        <v>0</v>
      </c>
      <c r="U333" s="205"/>
      <c r="V333" s="205"/>
      <c r="W333" s="205"/>
      <c r="X333" s="205"/>
      <c r="Y333" s="120"/>
      <c r="Z333" s="96">
        <f>SUM(U333:X333)</f>
        <v>0</v>
      </c>
      <c r="AA333" s="97">
        <f>IF(C333=2016, Z333/3,Z333)+Y333</f>
        <v>0</v>
      </c>
      <c r="AB333" s="22"/>
      <c r="AC333" s="153"/>
      <c r="AD333" s="153"/>
      <c r="AE333" s="153"/>
      <c r="AF333" s="153"/>
      <c r="AG333" s="153"/>
      <c r="AH333" s="153"/>
      <c r="AI333" s="13"/>
      <c r="AJ333" s="95"/>
      <c r="AK333" s="96"/>
      <c r="AL333" s="97"/>
    </row>
    <row r="334" spans="1:38" x14ac:dyDescent="0.25">
      <c r="A334" s="11" t="s">
        <v>1153</v>
      </c>
      <c r="B334" s="60" t="s">
        <v>479</v>
      </c>
      <c r="C334" s="62">
        <v>2013</v>
      </c>
      <c r="D334" s="1">
        <f t="shared" si="30"/>
        <v>0</v>
      </c>
      <c r="E334" s="233">
        <f>0</f>
        <v>0</v>
      </c>
      <c r="F334" s="233"/>
      <c r="G334" s="154"/>
      <c r="H334" s="233"/>
      <c r="I334" s="233"/>
      <c r="J334" s="233"/>
      <c r="K334" s="233"/>
      <c r="L334" s="233"/>
      <c r="M334" s="233"/>
      <c r="N334" s="233"/>
      <c r="O334" s="233"/>
      <c r="P334" s="154"/>
      <c r="Q334" s="96"/>
      <c r="R334" s="97"/>
      <c r="U334" s="233"/>
      <c r="V334" s="233"/>
      <c r="W334" s="233"/>
      <c r="X334" s="233"/>
      <c r="Y334" s="120"/>
      <c r="Z334" s="96"/>
      <c r="AA334" s="97"/>
      <c r="AB334" s="22"/>
      <c r="AC334" s="153"/>
      <c r="AD334" s="153"/>
      <c r="AE334" s="153"/>
      <c r="AF334" s="153"/>
      <c r="AG334" s="153"/>
      <c r="AH334" s="153"/>
      <c r="AI334" s="13"/>
      <c r="AJ334" s="95"/>
      <c r="AK334" s="96"/>
      <c r="AL334" s="97"/>
    </row>
    <row r="335" spans="1:38" x14ac:dyDescent="0.25">
      <c r="A335" s="11" t="s">
        <v>1115</v>
      </c>
      <c r="B335" s="60" t="s">
        <v>86</v>
      </c>
      <c r="C335" s="62">
        <v>2016</v>
      </c>
      <c r="D335" s="1">
        <f t="shared" si="30"/>
        <v>25</v>
      </c>
      <c r="E335" s="233">
        <f>15+10</f>
        <v>25</v>
      </c>
      <c r="G335" s="154"/>
      <c r="P335" s="154"/>
      <c r="Q335" s="96"/>
      <c r="R335" s="97"/>
      <c r="Y335" s="120"/>
      <c r="Z335" s="96"/>
      <c r="AA335" s="97"/>
      <c r="AB335" s="22"/>
      <c r="AC335" s="153"/>
      <c r="AD335" s="153"/>
      <c r="AE335" s="153"/>
      <c r="AF335" s="153"/>
      <c r="AG335" s="153"/>
      <c r="AH335" s="153"/>
      <c r="AI335" s="13"/>
      <c r="AJ335" s="95"/>
      <c r="AK335" s="96"/>
      <c r="AL335" s="97"/>
    </row>
    <row r="336" spans="1:38" x14ac:dyDescent="0.25">
      <c r="A336" s="11" t="s">
        <v>1144</v>
      </c>
      <c r="B336" s="60" t="s">
        <v>479</v>
      </c>
      <c r="C336" s="62">
        <v>2014</v>
      </c>
      <c r="D336" s="1">
        <f t="shared" si="30"/>
        <v>0</v>
      </c>
      <c r="E336" s="233">
        <f>0</f>
        <v>0</v>
      </c>
      <c r="F336" s="233"/>
      <c r="G336" s="154"/>
      <c r="H336" s="233"/>
      <c r="I336" s="233"/>
      <c r="J336" s="233"/>
      <c r="K336" s="233"/>
      <c r="L336" s="233"/>
      <c r="M336" s="233"/>
      <c r="N336" s="233"/>
      <c r="O336" s="233"/>
      <c r="P336" s="154"/>
      <c r="Q336" s="96"/>
      <c r="R336" s="97"/>
      <c r="U336" s="233"/>
      <c r="V336" s="233"/>
      <c r="W336" s="233"/>
      <c r="X336" s="233"/>
      <c r="Y336" s="120"/>
      <c r="Z336" s="96"/>
      <c r="AA336" s="97"/>
      <c r="AB336" s="22"/>
      <c r="AC336" s="153"/>
      <c r="AD336" s="153"/>
      <c r="AE336" s="153"/>
      <c r="AF336" s="153"/>
      <c r="AG336" s="153"/>
      <c r="AH336" s="153"/>
      <c r="AI336" s="13"/>
      <c r="AJ336" s="95"/>
      <c r="AK336" s="96"/>
      <c r="AL336" s="97"/>
    </row>
    <row r="337" spans="1:38" x14ac:dyDescent="0.25">
      <c r="A337" s="71" t="s">
        <v>1047</v>
      </c>
      <c r="B337" s="71" t="s">
        <v>86</v>
      </c>
      <c r="C337" s="72">
        <v>2013</v>
      </c>
      <c r="D337" s="1">
        <f t="shared" si="30"/>
        <v>45</v>
      </c>
      <c r="E337" s="233">
        <f>45</f>
        <v>45</v>
      </c>
      <c r="G337" s="154"/>
      <c r="I337" s="205">
        <f>0</f>
        <v>0</v>
      </c>
      <c r="J337" s="205"/>
      <c r="K337" s="205"/>
      <c r="L337" s="205"/>
      <c r="M337" s="205"/>
      <c r="N337" s="205"/>
      <c r="O337" s="219">
        <f>AA337</f>
        <v>0</v>
      </c>
      <c r="P337" s="154"/>
      <c r="Q337" s="96">
        <f>AC337+I337+J337+K337+L337+M337+N337+O337</f>
        <v>0</v>
      </c>
      <c r="R337" s="97">
        <f>IF(C337=2017, Q337/3,Q337)+P337</f>
        <v>0</v>
      </c>
      <c r="U337" s="205"/>
      <c r="V337" s="205"/>
      <c r="W337" s="205"/>
      <c r="X337" s="205"/>
      <c r="Y337" s="120"/>
      <c r="Z337" s="96">
        <f>SUM(U337:X337)</f>
        <v>0</v>
      </c>
      <c r="AA337" s="97">
        <f>IF(C337=2016, Z337/3,Z337)+Y337</f>
        <v>0</v>
      </c>
      <c r="AB337" s="22"/>
      <c r="AC337" s="205"/>
      <c r="AD337" s="205"/>
      <c r="AE337" s="205"/>
      <c r="AF337" s="205"/>
      <c r="AG337" s="205"/>
      <c r="AH337" s="205"/>
      <c r="AJ337" s="95"/>
      <c r="AK337" s="96"/>
      <c r="AL337" s="97"/>
    </row>
    <row r="338" spans="1:38" x14ac:dyDescent="0.25">
      <c r="A338" s="71" t="s">
        <v>1126</v>
      </c>
      <c r="B338" s="71" t="s">
        <v>86</v>
      </c>
      <c r="C338" s="72">
        <v>2014</v>
      </c>
      <c r="D338" s="1">
        <f t="shared" si="30"/>
        <v>0</v>
      </c>
      <c r="E338" s="233">
        <f>0</f>
        <v>0</v>
      </c>
      <c r="G338" s="154"/>
      <c r="K338" s="196"/>
      <c r="L338" s="196"/>
      <c r="M338" s="196"/>
      <c r="N338" s="196"/>
      <c r="P338" s="154"/>
      <c r="Q338" s="96"/>
      <c r="R338" s="97"/>
      <c r="U338" s="196"/>
      <c r="V338" s="196"/>
      <c r="W338" s="196"/>
      <c r="X338" s="196"/>
      <c r="Y338" s="120"/>
      <c r="Z338" s="96"/>
      <c r="AA338" s="97"/>
      <c r="AB338" s="22"/>
      <c r="AC338" s="196"/>
      <c r="AD338" s="196"/>
      <c r="AE338" s="196"/>
      <c r="AF338" s="196"/>
      <c r="AG338" s="196"/>
      <c r="AH338" s="196"/>
      <c r="AJ338" s="95"/>
      <c r="AK338" s="96"/>
      <c r="AL338" s="97"/>
    </row>
    <row r="339" spans="1:38" x14ac:dyDescent="0.25">
      <c r="A339" s="71" t="s">
        <v>1019</v>
      </c>
      <c r="B339" s="71" t="s">
        <v>63</v>
      </c>
      <c r="C339" s="72">
        <v>2014</v>
      </c>
      <c r="D339" s="1">
        <f t="shared" si="30"/>
        <v>0</v>
      </c>
      <c r="F339" s="233"/>
      <c r="G339" s="154"/>
      <c r="H339" s="233"/>
      <c r="I339" s="233">
        <f>0</f>
        <v>0</v>
      </c>
      <c r="J339" s="233"/>
      <c r="K339" s="233"/>
      <c r="L339" s="233"/>
      <c r="M339" s="233"/>
      <c r="N339" s="233"/>
      <c r="O339" s="233">
        <f>AA339</f>
        <v>0</v>
      </c>
      <c r="P339" s="154"/>
      <c r="Q339" s="96">
        <f>AC339+I339+J339+K339+L339+M339+N339+O339</f>
        <v>0</v>
      </c>
      <c r="R339" s="97">
        <f>IF(C339=2017, Q339/3,Q339)+P339</f>
        <v>0</v>
      </c>
      <c r="U339" s="233"/>
      <c r="V339" s="233"/>
      <c r="W339" s="233"/>
      <c r="X339" s="233"/>
      <c r="Y339" s="120"/>
      <c r="Z339" s="96">
        <f>SUM(U339:X339)</f>
        <v>0</v>
      </c>
      <c r="AA339" s="97">
        <f>IF(C339=2016, Z339/3,Z339)+Y339</f>
        <v>0</v>
      </c>
      <c r="AB339" s="22"/>
      <c r="AC339" s="233"/>
      <c r="AD339" s="233"/>
      <c r="AE339" s="233"/>
      <c r="AF339" s="233"/>
      <c r="AG339" s="233"/>
      <c r="AH339" s="233"/>
      <c r="AJ339" s="95"/>
      <c r="AK339" s="96"/>
      <c r="AL339" s="97"/>
    </row>
    <row r="340" spans="1:38" x14ac:dyDescent="0.25">
      <c r="A340" s="71" t="s">
        <v>1014</v>
      </c>
      <c r="B340" s="71" t="s">
        <v>86</v>
      </c>
      <c r="C340" s="72">
        <v>2013</v>
      </c>
      <c r="D340" s="1">
        <f t="shared" ref="D340:D366" si="36">R340+F340+E340</f>
        <v>0</v>
      </c>
      <c r="F340" s="233"/>
      <c r="G340" s="154"/>
      <c r="H340" s="233"/>
      <c r="I340" s="233">
        <f>0</f>
        <v>0</v>
      </c>
      <c r="J340" s="233"/>
      <c r="K340" s="233"/>
      <c r="L340" s="233"/>
      <c r="M340" s="233"/>
      <c r="N340" s="233"/>
      <c r="O340" s="233">
        <f>AA340</f>
        <v>0</v>
      </c>
      <c r="P340" s="154"/>
      <c r="Q340" s="96">
        <f>AC340+I340+J340+K340+L340+M340+N340+O340</f>
        <v>0</v>
      </c>
      <c r="R340" s="97">
        <f>IF(C340=2017, Q340/3,Q340)+P340</f>
        <v>0</v>
      </c>
      <c r="U340" s="233"/>
      <c r="V340" s="233"/>
      <c r="W340" s="233"/>
      <c r="X340" s="233"/>
      <c r="Y340" s="120"/>
      <c r="Z340" s="96">
        <f>SUM(U340:X340)</f>
        <v>0</v>
      </c>
      <c r="AA340" s="97">
        <f>IF(C340=2016, Z340/3,Z340)+Y340</f>
        <v>0</v>
      </c>
      <c r="AB340" s="22"/>
      <c r="AC340" s="233"/>
      <c r="AD340" s="233"/>
      <c r="AE340" s="233"/>
      <c r="AF340" s="233"/>
      <c r="AG340" s="233"/>
      <c r="AH340" s="233"/>
      <c r="AJ340" s="95"/>
      <c r="AK340" s="96"/>
      <c r="AL340" s="97"/>
    </row>
    <row r="341" spans="1:38" x14ac:dyDescent="0.25">
      <c r="A341" s="11" t="s">
        <v>1133</v>
      </c>
      <c r="B341" s="11" t="s">
        <v>1101</v>
      </c>
      <c r="C341" s="3">
        <v>2014</v>
      </c>
      <c r="D341" s="1">
        <f t="shared" si="36"/>
        <v>15</v>
      </c>
      <c r="E341" s="233">
        <f>15</f>
        <v>15</v>
      </c>
      <c r="F341" s="233"/>
      <c r="G341" s="233"/>
      <c r="H341" s="233"/>
      <c r="I341" s="233"/>
      <c r="J341" s="233"/>
      <c r="K341" s="233"/>
      <c r="L341" s="233"/>
      <c r="M341" s="233"/>
      <c r="N341" s="233"/>
      <c r="O341" s="233"/>
      <c r="P341" s="233"/>
      <c r="U341" s="233"/>
      <c r="V341" s="233"/>
      <c r="W341" s="233"/>
      <c r="X341" s="233"/>
      <c r="Y341" s="233"/>
      <c r="AC341" s="233"/>
      <c r="AD341" s="233"/>
      <c r="AE341" s="233"/>
      <c r="AF341" s="233"/>
      <c r="AG341" s="233"/>
      <c r="AH341" s="233"/>
    </row>
    <row r="342" spans="1:38" x14ac:dyDescent="0.25">
      <c r="A342" s="71" t="s">
        <v>1016</v>
      </c>
      <c r="B342" s="71" t="s">
        <v>86</v>
      </c>
      <c r="C342" s="72">
        <v>2015</v>
      </c>
      <c r="D342" s="1">
        <f t="shared" si="36"/>
        <v>15</v>
      </c>
      <c r="E342" s="233">
        <f>9+6</f>
        <v>15</v>
      </c>
      <c r="F342" s="233"/>
      <c r="G342" s="154"/>
      <c r="H342" s="233"/>
      <c r="I342" s="233">
        <f>0</f>
        <v>0</v>
      </c>
      <c r="J342" s="233"/>
      <c r="K342" s="233"/>
      <c r="L342" s="233"/>
      <c r="M342" s="233"/>
      <c r="N342" s="233"/>
      <c r="O342" s="233">
        <f>AA342</f>
        <v>0</v>
      </c>
      <c r="P342" s="154"/>
      <c r="Q342" s="96">
        <f>AC342+I342+J342+K342+L342+M342+N342+O342</f>
        <v>0</v>
      </c>
      <c r="R342" s="97">
        <f>IF(C342=2017, Q342/3,Q342)+P342</f>
        <v>0</v>
      </c>
      <c r="U342" s="233"/>
      <c r="V342" s="233"/>
      <c r="W342" s="233"/>
      <c r="X342" s="233"/>
      <c r="Y342" s="120"/>
      <c r="Z342" s="96">
        <f>SUM(U342:X342)</f>
        <v>0</v>
      </c>
      <c r="AA342" s="97">
        <f>IF(C342=2016, Z342/3,Z342)+Y342</f>
        <v>0</v>
      </c>
      <c r="AB342" s="22"/>
      <c r="AC342" s="233"/>
      <c r="AD342" s="233"/>
      <c r="AE342" s="233"/>
      <c r="AF342" s="233"/>
      <c r="AG342" s="233"/>
      <c r="AH342" s="233"/>
      <c r="AJ342" s="95"/>
      <c r="AK342" s="96"/>
      <c r="AL342" s="97"/>
    </row>
    <row r="343" spans="1:38" x14ac:dyDescent="0.25">
      <c r="A343" s="71" t="s">
        <v>969</v>
      </c>
      <c r="B343" s="71" t="s">
        <v>948</v>
      </c>
      <c r="C343" s="72">
        <v>2015</v>
      </c>
      <c r="D343" s="1">
        <f t="shared" si="36"/>
        <v>50</v>
      </c>
      <c r="G343" s="154"/>
      <c r="J343" s="196">
        <f>50</f>
        <v>50</v>
      </c>
      <c r="K343" s="196"/>
      <c r="L343" s="196"/>
      <c r="M343" s="196"/>
      <c r="N343" s="196"/>
      <c r="O343" s="219">
        <f>AA343</f>
        <v>0</v>
      </c>
      <c r="P343" s="154"/>
      <c r="Q343" s="96">
        <f>AC343+I343+J343+K343+L343+M343+N343+O343</f>
        <v>50</v>
      </c>
      <c r="R343" s="97">
        <f>IF(C343=2017, Q343/3,Q343)+P343</f>
        <v>50</v>
      </c>
      <c r="U343" s="196"/>
      <c r="V343" s="196"/>
      <c r="W343" s="196"/>
      <c r="X343" s="196"/>
      <c r="Y343" s="120"/>
      <c r="Z343" s="96">
        <f>SUM(U343:X343)</f>
        <v>0</v>
      </c>
      <c r="AA343" s="97">
        <f>IF(C343=2016, Z343/3,Z343)+Y343</f>
        <v>0</v>
      </c>
      <c r="AB343" s="22"/>
      <c r="AC343" s="196"/>
      <c r="AD343" s="196"/>
      <c r="AE343" s="196"/>
      <c r="AF343" s="196"/>
      <c r="AG343" s="196"/>
      <c r="AH343" s="196"/>
      <c r="AJ343" s="95"/>
      <c r="AK343" s="96"/>
      <c r="AL343" s="97"/>
    </row>
    <row r="344" spans="1:38" x14ac:dyDescent="0.25">
      <c r="A344" s="71" t="s">
        <v>968</v>
      </c>
      <c r="B344" s="71" t="s">
        <v>948</v>
      </c>
      <c r="C344" s="72">
        <v>2014</v>
      </c>
      <c r="D344" s="1">
        <f t="shared" si="36"/>
        <v>62</v>
      </c>
      <c r="G344" s="154"/>
      <c r="J344" s="196">
        <f>50+12</f>
        <v>62</v>
      </c>
      <c r="K344" s="196"/>
      <c r="L344" s="196"/>
      <c r="M344" s="196"/>
      <c r="N344" s="196"/>
      <c r="O344" s="219">
        <f>AA344</f>
        <v>0</v>
      </c>
      <c r="P344" s="154"/>
      <c r="Q344" s="96">
        <f>AC344+I344+J344+K344+L344+M344+N344+O344</f>
        <v>62</v>
      </c>
      <c r="R344" s="97">
        <f>IF(C344=2017, Q344/3,Q344)+P344</f>
        <v>62</v>
      </c>
      <c r="U344" s="196"/>
      <c r="V344" s="196"/>
      <c r="W344" s="196"/>
      <c r="X344" s="196"/>
      <c r="Y344" s="120"/>
      <c r="Z344" s="96">
        <f>SUM(U344:X344)</f>
        <v>0</v>
      </c>
      <c r="AA344" s="97">
        <f>IF(C344=2016, Z344/3,Z344)+Y344</f>
        <v>0</v>
      </c>
      <c r="AB344" s="22"/>
      <c r="AC344" s="196"/>
      <c r="AD344" s="196"/>
      <c r="AE344" s="196"/>
      <c r="AF344" s="196"/>
      <c r="AG344" s="196"/>
      <c r="AH344" s="196"/>
      <c r="AJ344" s="95"/>
      <c r="AK344" s="96"/>
      <c r="AL344" s="97"/>
    </row>
    <row r="345" spans="1:38" x14ac:dyDescent="0.25">
      <c r="A345" s="71" t="s">
        <v>1151</v>
      </c>
      <c r="B345" s="71" t="s">
        <v>479</v>
      </c>
      <c r="C345" s="72">
        <v>2015</v>
      </c>
      <c r="D345" s="1">
        <f t="shared" si="36"/>
        <v>0</v>
      </c>
      <c r="E345" s="233">
        <f>0</f>
        <v>0</v>
      </c>
      <c r="F345" s="233"/>
      <c r="G345" s="154"/>
      <c r="H345" s="233"/>
      <c r="I345" s="233"/>
      <c r="J345" s="233"/>
      <c r="K345" s="233"/>
      <c r="L345" s="233"/>
      <c r="M345" s="233"/>
      <c r="N345" s="233"/>
      <c r="O345" s="233"/>
      <c r="P345" s="154"/>
      <c r="Q345" s="96"/>
      <c r="R345" s="97"/>
      <c r="U345" s="233"/>
      <c r="V345" s="233"/>
      <c r="W345" s="233"/>
      <c r="X345" s="233"/>
      <c r="Y345" s="120"/>
      <c r="Z345" s="96"/>
      <c r="AA345" s="97"/>
      <c r="AB345" s="22"/>
      <c r="AC345" s="233"/>
      <c r="AD345" s="233"/>
      <c r="AE345" s="233"/>
      <c r="AF345" s="233"/>
      <c r="AG345" s="233"/>
      <c r="AH345" s="233"/>
      <c r="AJ345" s="95"/>
      <c r="AK345" s="96"/>
      <c r="AL345" s="97"/>
    </row>
    <row r="346" spans="1:38" x14ac:dyDescent="0.25">
      <c r="A346" s="71" t="s">
        <v>1104</v>
      </c>
      <c r="B346" s="71" t="s">
        <v>842</v>
      </c>
      <c r="C346" s="72">
        <v>2013</v>
      </c>
      <c r="D346" s="1">
        <f t="shared" si="36"/>
        <v>43</v>
      </c>
      <c r="E346" s="233">
        <f>43</f>
        <v>43</v>
      </c>
      <c r="F346" s="233"/>
      <c r="G346" s="154"/>
      <c r="H346" s="233"/>
      <c r="I346" s="233"/>
      <c r="J346" s="233"/>
      <c r="K346" s="233"/>
      <c r="L346" s="233"/>
      <c r="M346" s="233"/>
      <c r="N346" s="233"/>
      <c r="O346" s="233"/>
      <c r="P346" s="154"/>
      <c r="Q346" s="96"/>
      <c r="R346" s="97"/>
      <c r="U346" s="233"/>
      <c r="V346" s="233"/>
      <c r="W346" s="233"/>
      <c r="X346" s="233"/>
      <c r="Y346" s="120"/>
      <c r="Z346" s="96"/>
      <c r="AA346" s="97"/>
      <c r="AB346" s="22"/>
      <c r="AC346" s="233"/>
      <c r="AD346" s="233"/>
      <c r="AE346" s="233"/>
      <c r="AF346" s="233"/>
      <c r="AG346" s="233"/>
      <c r="AH346" s="233"/>
      <c r="AJ346" s="95"/>
      <c r="AK346" s="96"/>
      <c r="AL346" s="97"/>
    </row>
    <row r="347" spans="1:38" x14ac:dyDescent="0.25">
      <c r="A347" s="71" t="s">
        <v>998</v>
      </c>
      <c r="B347" s="71" t="s">
        <v>86</v>
      </c>
      <c r="C347" s="72">
        <v>2013</v>
      </c>
      <c r="D347" s="1">
        <f t="shared" si="36"/>
        <v>40</v>
      </c>
      <c r="F347" s="233"/>
      <c r="G347" s="154"/>
      <c r="H347" s="233"/>
      <c r="I347" s="233">
        <f>40</f>
        <v>40</v>
      </c>
      <c r="J347" s="233"/>
      <c r="K347" s="233"/>
      <c r="L347" s="233"/>
      <c r="M347" s="233"/>
      <c r="N347" s="233"/>
      <c r="O347" s="219">
        <f>AA347</f>
        <v>0</v>
      </c>
      <c r="P347" s="154"/>
      <c r="Q347" s="96">
        <f>AC347+I347+J347+K347+L347+M347+N347+O347</f>
        <v>40</v>
      </c>
      <c r="R347" s="97">
        <f>IF(C347=2017, Q347/3,Q347)+P347</f>
        <v>40</v>
      </c>
      <c r="U347" s="233"/>
      <c r="V347" s="233"/>
      <c r="W347" s="233"/>
      <c r="X347" s="233"/>
      <c r="Y347" s="120"/>
      <c r="Z347" s="96">
        <f>SUM(U347:X347)</f>
        <v>0</v>
      </c>
      <c r="AA347" s="97">
        <f>IF(C347=2016, Z347/3,Z347)+Y347</f>
        <v>0</v>
      </c>
      <c r="AB347" s="22"/>
      <c r="AC347" s="233"/>
      <c r="AD347" s="233"/>
      <c r="AE347" s="233"/>
      <c r="AF347" s="233"/>
      <c r="AG347" s="233"/>
      <c r="AH347" s="233"/>
      <c r="AJ347" s="95"/>
      <c r="AK347" s="96"/>
      <c r="AL347" s="97"/>
    </row>
    <row r="348" spans="1:38" x14ac:dyDescent="0.25">
      <c r="A348" s="71" t="s">
        <v>1120</v>
      </c>
      <c r="B348" s="71" t="s">
        <v>6</v>
      </c>
      <c r="C348" s="72">
        <v>2013</v>
      </c>
      <c r="D348" s="1">
        <f t="shared" si="36"/>
        <v>9</v>
      </c>
      <c r="E348" s="233">
        <f>9</f>
        <v>9</v>
      </c>
      <c r="F348" s="233"/>
      <c r="G348" s="154"/>
      <c r="H348" s="233"/>
      <c r="I348" s="233"/>
      <c r="J348" s="233"/>
      <c r="K348" s="233"/>
      <c r="L348" s="233"/>
      <c r="M348" s="233"/>
      <c r="N348" s="233"/>
      <c r="O348" s="233"/>
      <c r="P348" s="154"/>
      <c r="Q348" s="96"/>
      <c r="R348" s="97"/>
      <c r="U348" s="233"/>
      <c r="V348" s="233"/>
      <c r="W348" s="233"/>
      <c r="X348" s="233"/>
      <c r="Y348" s="120"/>
      <c r="Z348" s="96"/>
      <c r="AA348" s="97"/>
      <c r="AB348" s="22"/>
      <c r="AC348" s="233"/>
      <c r="AD348" s="233"/>
      <c r="AE348" s="233"/>
      <c r="AF348" s="233"/>
      <c r="AG348" s="233"/>
      <c r="AH348" s="233"/>
      <c r="AJ348" s="95"/>
      <c r="AK348" s="96"/>
      <c r="AL348" s="97"/>
    </row>
    <row r="349" spans="1:38" x14ac:dyDescent="0.25">
      <c r="A349" s="71" t="s">
        <v>1106</v>
      </c>
      <c r="B349" s="71" t="s">
        <v>86</v>
      </c>
      <c r="C349" s="72">
        <v>2014</v>
      </c>
      <c r="D349" s="1">
        <f t="shared" si="36"/>
        <v>40</v>
      </c>
      <c r="E349" s="233">
        <f>40</f>
        <v>40</v>
      </c>
      <c r="F349" s="233"/>
      <c r="G349" s="154"/>
      <c r="H349" s="233"/>
      <c r="I349" s="233"/>
      <c r="J349" s="233"/>
      <c r="K349" s="233"/>
      <c r="L349" s="233"/>
      <c r="M349" s="233"/>
      <c r="N349" s="233"/>
      <c r="O349" s="233"/>
      <c r="P349" s="154"/>
      <c r="Q349" s="96"/>
      <c r="R349" s="97"/>
      <c r="U349" s="233"/>
      <c r="V349" s="233"/>
      <c r="W349" s="233"/>
      <c r="X349" s="233"/>
      <c r="Y349" s="120"/>
      <c r="Z349" s="96"/>
      <c r="AA349" s="97"/>
      <c r="AB349" s="22"/>
      <c r="AC349" s="233"/>
      <c r="AD349" s="233"/>
      <c r="AE349" s="233"/>
      <c r="AF349" s="233"/>
      <c r="AG349" s="233"/>
      <c r="AH349" s="233"/>
      <c r="AJ349" s="95"/>
      <c r="AK349" s="96"/>
      <c r="AL349" s="97"/>
    </row>
    <row r="350" spans="1:38" x14ac:dyDescent="0.25">
      <c r="A350" s="11" t="s">
        <v>1112</v>
      </c>
      <c r="B350" s="11" t="s">
        <v>0</v>
      </c>
      <c r="C350" s="3">
        <v>2017</v>
      </c>
      <c r="D350" s="1">
        <f t="shared" si="36"/>
        <v>27.666666666666668</v>
      </c>
      <c r="E350" s="108">
        <f>24</f>
        <v>24</v>
      </c>
      <c r="F350" s="108"/>
      <c r="G350" s="101"/>
      <c r="H350" s="108"/>
      <c r="I350" s="108">
        <f>9</f>
        <v>9</v>
      </c>
      <c r="J350" s="108">
        <f>2</f>
        <v>2</v>
      </c>
      <c r="K350" s="101"/>
      <c r="L350" s="101"/>
      <c r="M350" s="101"/>
      <c r="N350" s="101"/>
      <c r="O350" s="219">
        <f>AA350</f>
        <v>0</v>
      </c>
      <c r="P350" s="101"/>
      <c r="Q350" s="96">
        <f>AC350+I350+J350+K350+L350+M350+N350+O350</f>
        <v>11</v>
      </c>
      <c r="R350" s="97">
        <f>IF(C350=2017, Q350/3,Q350)+P350</f>
        <v>3.6666666666666665</v>
      </c>
      <c r="S350" s="101"/>
      <c r="T350" s="101"/>
      <c r="U350" s="101"/>
      <c r="V350" s="101"/>
      <c r="W350" s="101"/>
      <c r="X350" s="101"/>
      <c r="Y350" s="101"/>
      <c r="Z350" s="96">
        <f>SUM(U350:X350)</f>
        <v>0</v>
      </c>
      <c r="AA350" s="97">
        <f>IF(C350=2016, Z350/3,Z350)+Y350</f>
        <v>0</v>
      </c>
      <c r="AB350" s="101"/>
      <c r="AC350" s="41"/>
      <c r="AD350" s="41"/>
      <c r="AE350" s="41"/>
      <c r="AF350" s="41"/>
      <c r="AG350" s="41"/>
      <c r="AH350" s="41"/>
      <c r="AI350" s="13"/>
    </row>
    <row r="351" spans="1:38" x14ac:dyDescent="0.25">
      <c r="A351" s="71" t="s">
        <v>993</v>
      </c>
      <c r="B351" s="71" t="s">
        <v>406</v>
      </c>
      <c r="C351" s="72">
        <v>2013</v>
      </c>
      <c r="D351" s="1">
        <f t="shared" si="36"/>
        <v>2</v>
      </c>
      <c r="G351" s="154"/>
      <c r="J351" s="196">
        <f>2</f>
        <v>2</v>
      </c>
      <c r="M351" s="170"/>
      <c r="N351" s="170"/>
      <c r="O351" s="219">
        <f>AA351</f>
        <v>0</v>
      </c>
      <c r="P351" s="154"/>
      <c r="Q351" s="96">
        <f>AC351+I351+J351+K351+L351+M351+N351+O351</f>
        <v>2</v>
      </c>
      <c r="R351" s="97">
        <f>IF(C351=2017, Q351/3,Q351)+P351</f>
        <v>2</v>
      </c>
      <c r="U351" s="170"/>
      <c r="V351" s="170"/>
      <c r="W351" s="170"/>
      <c r="X351" s="170"/>
      <c r="Y351" s="120"/>
      <c r="Z351" s="96">
        <f>SUM(U351:X351)</f>
        <v>0</v>
      </c>
      <c r="AA351" s="97">
        <f>IF(C351=2016, Z351/3,Z351)+Y351</f>
        <v>0</v>
      </c>
      <c r="AB351" s="22"/>
      <c r="AC351" s="170"/>
      <c r="AD351" s="170"/>
      <c r="AE351" s="170"/>
      <c r="AF351" s="170"/>
      <c r="AG351" s="170"/>
      <c r="AH351" s="170"/>
      <c r="AJ351" s="95"/>
      <c r="AK351" s="96"/>
      <c r="AL351" s="97"/>
    </row>
    <row r="352" spans="1:38" x14ac:dyDescent="0.25">
      <c r="A352" s="71" t="s">
        <v>1122</v>
      </c>
      <c r="B352" s="71" t="s">
        <v>0</v>
      </c>
      <c r="C352" s="72">
        <v>2015</v>
      </c>
      <c r="D352" s="1">
        <f t="shared" si="36"/>
        <v>0</v>
      </c>
      <c r="E352" s="233">
        <f>0</f>
        <v>0</v>
      </c>
      <c r="G352" s="154"/>
      <c r="J352" s="205"/>
      <c r="K352" s="205"/>
      <c r="L352" s="205"/>
      <c r="M352" s="205"/>
      <c r="N352" s="205"/>
      <c r="P352" s="154"/>
      <c r="Q352" s="96"/>
      <c r="R352" s="97"/>
      <c r="U352" s="205"/>
      <c r="V352" s="205"/>
      <c r="W352" s="205"/>
      <c r="X352" s="205"/>
      <c r="Y352" s="120"/>
      <c r="Z352" s="96"/>
      <c r="AA352" s="97"/>
      <c r="AB352" s="22"/>
      <c r="AC352" s="205"/>
      <c r="AD352" s="205"/>
      <c r="AE352" s="205"/>
      <c r="AF352" s="205"/>
      <c r="AG352" s="205"/>
      <c r="AH352" s="205"/>
      <c r="AJ352" s="95"/>
      <c r="AK352" s="96"/>
      <c r="AL352" s="97"/>
    </row>
    <row r="353" spans="1:38" x14ac:dyDescent="0.25">
      <c r="A353" s="11" t="s">
        <v>1142</v>
      </c>
      <c r="B353" s="11" t="s">
        <v>1101</v>
      </c>
      <c r="C353" s="3">
        <v>2013</v>
      </c>
      <c r="D353" s="1">
        <f t="shared" si="36"/>
        <v>0</v>
      </c>
      <c r="E353" s="233">
        <f>0</f>
        <v>0</v>
      </c>
      <c r="G353" s="233"/>
      <c r="M353" s="166"/>
      <c r="N353" s="166"/>
      <c r="P353" s="233"/>
      <c r="U353" s="166"/>
      <c r="V353" s="166"/>
      <c r="W353" s="166"/>
      <c r="X353" s="166"/>
      <c r="Y353" s="233"/>
      <c r="AC353" s="166"/>
      <c r="AD353" s="166"/>
      <c r="AE353" s="166"/>
      <c r="AF353" s="166"/>
      <c r="AG353" s="166"/>
      <c r="AH353" s="166"/>
    </row>
    <row r="354" spans="1:38" x14ac:dyDescent="0.25">
      <c r="A354" s="71" t="s">
        <v>1097</v>
      </c>
      <c r="B354" s="71" t="s">
        <v>86</v>
      </c>
      <c r="C354" s="72">
        <v>2013</v>
      </c>
      <c r="D354" s="1">
        <f t="shared" si="36"/>
        <v>66</v>
      </c>
      <c r="E354" s="233">
        <f>66</f>
        <v>66</v>
      </c>
      <c r="G354" s="154"/>
      <c r="P354" s="154"/>
      <c r="Q354" s="96"/>
      <c r="R354" s="97"/>
      <c r="Y354" s="120"/>
      <c r="Z354" s="96"/>
      <c r="AA354" s="97"/>
      <c r="AB354" s="22"/>
      <c r="AJ354" s="95"/>
      <c r="AK354" s="96"/>
      <c r="AL354" s="97"/>
    </row>
    <row r="355" spans="1:38" x14ac:dyDescent="0.25">
      <c r="A355" s="11" t="s">
        <v>1124</v>
      </c>
      <c r="B355" s="11" t="s">
        <v>86</v>
      </c>
      <c r="C355" s="3">
        <v>2014</v>
      </c>
      <c r="D355" s="1">
        <f t="shared" si="36"/>
        <v>0</v>
      </c>
      <c r="E355" s="108">
        <f>0</f>
        <v>0</v>
      </c>
      <c r="F355" s="108"/>
      <c r="G355" s="101"/>
      <c r="H355" s="108"/>
      <c r="I355" s="108"/>
      <c r="J355" s="108"/>
      <c r="K355" s="101"/>
      <c r="L355" s="101"/>
      <c r="M355" s="101"/>
      <c r="N355" s="101"/>
      <c r="O355" s="233"/>
      <c r="P355" s="101"/>
      <c r="Q355" s="96"/>
      <c r="R355" s="97"/>
      <c r="S355" s="101"/>
      <c r="T355" s="101"/>
      <c r="U355" s="101"/>
      <c r="V355" s="101"/>
      <c r="W355" s="101"/>
      <c r="X355" s="101"/>
      <c r="Y355" s="101"/>
      <c r="Z355" s="96"/>
      <c r="AA355" s="97"/>
      <c r="AB355" s="101"/>
      <c r="AC355" s="41"/>
      <c r="AD355" s="41"/>
      <c r="AE355" s="41"/>
      <c r="AF355" s="41"/>
      <c r="AG355" s="41"/>
      <c r="AH355" s="41"/>
      <c r="AI355" s="13"/>
    </row>
    <row r="356" spans="1:38" x14ac:dyDescent="0.25">
      <c r="A356" s="11" t="s">
        <v>1117</v>
      </c>
      <c r="B356" s="11" t="s">
        <v>86</v>
      </c>
      <c r="C356" s="3">
        <v>2014</v>
      </c>
      <c r="D356" s="1">
        <f t="shared" si="36"/>
        <v>15</v>
      </c>
      <c r="E356" s="108">
        <f>15</f>
        <v>15</v>
      </c>
      <c r="F356" s="108"/>
      <c r="G356" s="101"/>
      <c r="H356" s="108"/>
      <c r="I356" s="108"/>
      <c r="J356" s="108"/>
      <c r="K356" s="101"/>
      <c r="L356" s="101"/>
      <c r="M356" s="101"/>
      <c r="N356" s="101"/>
      <c r="P356" s="101"/>
      <c r="Q356" s="96"/>
      <c r="R356" s="97"/>
      <c r="S356" s="101"/>
      <c r="T356" s="101"/>
      <c r="U356" s="101"/>
      <c r="V356" s="101"/>
      <c r="W356" s="101"/>
      <c r="X356" s="101"/>
      <c r="Y356" s="101"/>
      <c r="Z356" s="96"/>
      <c r="AA356" s="97"/>
      <c r="AB356" s="101"/>
      <c r="AC356" s="41"/>
      <c r="AD356" s="41"/>
      <c r="AE356" s="41"/>
      <c r="AF356" s="41"/>
      <c r="AG356" s="41"/>
      <c r="AH356" s="41"/>
      <c r="AI356" s="13"/>
    </row>
    <row r="357" spans="1:38" x14ac:dyDescent="0.25">
      <c r="A357" s="71" t="s">
        <v>1099</v>
      </c>
      <c r="B357" s="71" t="s">
        <v>86</v>
      </c>
      <c r="C357" s="72">
        <v>2013</v>
      </c>
      <c r="D357" s="1">
        <f t="shared" si="36"/>
        <v>0</v>
      </c>
      <c r="E357" s="233">
        <f>0</f>
        <v>0</v>
      </c>
      <c r="G357" s="154"/>
      <c r="J357" s="205"/>
      <c r="K357" s="205"/>
      <c r="L357" s="205"/>
      <c r="M357" s="205"/>
      <c r="N357" s="205"/>
      <c r="P357" s="154"/>
      <c r="Q357" s="96"/>
      <c r="R357" s="97"/>
      <c r="U357" s="205"/>
      <c r="V357" s="205"/>
      <c r="W357" s="205"/>
      <c r="X357" s="205"/>
      <c r="Y357" s="120"/>
      <c r="Z357" s="96"/>
      <c r="AA357" s="97"/>
      <c r="AB357" s="22"/>
      <c r="AC357" s="205"/>
      <c r="AD357" s="205"/>
      <c r="AE357" s="205"/>
      <c r="AF357" s="205"/>
      <c r="AG357" s="205"/>
      <c r="AH357" s="205"/>
      <c r="AJ357" s="95"/>
      <c r="AK357" s="96"/>
      <c r="AL357" s="97"/>
    </row>
    <row r="358" spans="1:38" x14ac:dyDescent="0.25">
      <c r="A358" s="71" t="s">
        <v>1039</v>
      </c>
      <c r="B358" s="71" t="s">
        <v>86</v>
      </c>
      <c r="C358" s="72">
        <v>2014</v>
      </c>
      <c r="D358" s="1">
        <f t="shared" si="36"/>
        <v>33</v>
      </c>
      <c r="F358" s="233"/>
      <c r="G358" s="154"/>
      <c r="H358" s="233"/>
      <c r="I358" s="233">
        <f>33</f>
        <v>33</v>
      </c>
      <c r="J358" s="233"/>
      <c r="K358" s="233"/>
      <c r="L358" s="233"/>
      <c r="M358" s="233"/>
      <c r="N358" s="233"/>
      <c r="O358" s="233">
        <f>AA358</f>
        <v>0</v>
      </c>
      <c r="P358" s="154"/>
      <c r="Q358" s="96">
        <f>AC358+I358+J358+K358+L358+M358+N358+O358</f>
        <v>33</v>
      </c>
      <c r="R358" s="97">
        <f>IF(C358=2017, Q358/3,Q358)+P358</f>
        <v>33</v>
      </c>
      <c r="U358" s="233"/>
      <c r="V358" s="233"/>
      <c r="W358" s="233"/>
      <c r="X358" s="233"/>
      <c r="Y358" s="120"/>
      <c r="Z358" s="96">
        <f>SUM(U358:X358)</f>
        <v>0</v>
      </c>
      <c r="AA358" s="97">
        <f>IF(C358=2016, Z358/3,Z358)+Y358</f>
        <v>0</v>
      </c>
      <c r="AB358" s="22"/>
      <c r="AC358" s="233"/>
      <c r="AD358" s="233"/>
      <c r="AE358" s="233"/>
      <c r="AF358" s="233"/>
      <c r="AG358" s="233"/>
      <c r="AH358" s="233"/>
      <c r="AJ358" s="95"/>
      <c r="AK358" s="96"/>
      <c r="AL358" s="97"/>
    </row>
    <row r="359" spans="1:38" x14ac:dyDescent="0.25">
      <c r="A359" s="71" t="s">
        <v>1035</v>
      </c>
      <c r="B359" s="71" t="s">
        <v>86</v>
      </c>
      <c r="C359" s="72">
        <v>2016</v>
      </c>
      <c r="D359" s="1">
        <f t="shared" si="36"/>
        <v>62</v>
      </c>
      <c r="E359" s="233">
        <f>8</f>
        <v>8</v>
      </c>
      <c r="F359" s="233"/>
      <c r="G359" s="154"/>
      <c r="H359" s="233"/>
      <c r="I359" s="233">
        <f>54</f>
        <v>54</v>
      </c>
      <c r="J359" s="233"/>
      <c r="K359" s="233"/>
      <c r="L359" s="233"/>
      <c r="M359" s="233"/>
      <c r="N359" s="233"/>
      <c r="O359" s="233">
        <f>AA359</f>
        <v>0</v>
      </c>
      <c r="P359" s="154"/>
      <c r="Q359" s="96">
        <f>AC359+I359+J359+K359+L359+M359+N359+O359</f>
        <v>54</v>
      </c>
      <c r="R359" s="97">
        <f>IF(C359=2017, Q359/3,Q359)+P359</f>
        <v>54</v>
      </c>
      <c r="U359" s="233"/>
      <c r="V359" s="233"/>
      <c r="W359" s="233"/>
      <c r="X359" s="233"/>
      <c r="Y359" s="120"/>
      <c r="Z359" s="96">
        <f>SUM(U359:X359)</f>
        <v>0</v>
      </c>
      <c r="AA359" s="97">
        <f>IF(C359=2016, Z359/3,Z359)+Y359</f>
        <v>0</v>
      </c>
      <c r="AB359" s="22"/>
      <c r="AC359" s="233"/>
      <c r="AD359" s="233"/>
      <c r="AE359" s="233"/>
      <c r="AF359" s="233"/>
      <c r="AG359" s="233"/>
      <c r="AH359" s="233"/>
      <c r="AJ359" s="95"/>
      <c r="AK359" s="96"/>
      <c r="AL359" s="97"/>
    </row>
    <row r="360" spans="1:38" x14ac:dyDescent="0.25">
      <c r="A360" s="11" t="s">
        <v>959</v>
      </c>
      <c r="B360" s="60" t="s">
        <v>0</v>
      </c>
      <c r="C360" s="62">
        <v>2014</v>
      </c>
      <c r="D360" s="1">
        <f t="shared" si="36"/>
        <v>45</v>
      </c>
      <c r="E360" s="233">
        <f>15</f>
        <v>15</v>
      </c>
      <c r="G360" s="154"/>
      <c r="I360" s="205">
        <f>21</f>
        <v>21</v>
      </c>
      <c r="J360" s="196">
        <f>9</f>
        <v>9</v>
      </c>
      <c r="O360" s="219">
        <f>AA360</f>
        <v>0</v>
      </c>
      <c r="P360" s="154"/>
      <c r="Q360" s="96">
        <f>AC360+I360+J360+K360+L360+M360+N360+O360</f>
        <v>30</v>
      </c>
      <c r="R360" s="97">
        <f>IF(C360=2017, Q360/3,Q360)+P360</f>
        <v>30</v>
      </c>
      <c r="Y360" s="120"/>
      <c r="Z360" s="96">
        <f>SUM(U360:X360)</f>
        <v>0</v>
      </c>
      <c r="AA360" s="97">
        <f>IF(C360=2016, Z360/3,Z360)+Y360</f>
        <v>0</v>
      </c>
      <c r="AB360" s="22"/>
      <c r="AJ360" s="95"/>
      <c r="AK360" s="96"/>
      <c r="AL360" s="97"/>
    </row>
    <row r="361" spans="1:38" x14ac:dyDescent="0.25">
      <c r="A361" s="11" t="s">
        <v>1145</v>
      </c>
      <c r="B361" s="60" t="s">
        <v>86</v>
      </c>
      <c r="C361" s="62">
        <v>2016</v>
      </c>
      <c r="D361" s="1">
        <f t="shared" si="36"/>
        <v>9</v>
      </c>
      <c r="E361" s="233">
        <f>9</f>
        <v>9</v>
      </c>
      <c r="F361" s="233"/>
      <c r="G361" s="154"/>
      <c r="H361" s="233"/>
      <c r="I361" s="233"/>
      <c r="J361" s="233"/>
      <c r="K361" s="233"/>
      <c r="L361" s="233"/>
      <c r="M361" s="233"/>
      <c r="N361" s="233"/>
      <c r="O361" s="233"/>
      <c r="P361" s="154"/>
      <c r="Q361" s="96"/>
      <c r="R361" s="97"/>
      <c r="U361" s="233"/>
      <c r="V361" s="233"/>
      <c r="W361" s="233"/>
      <c r="X361" s="233"/>
      <c r="Y361" s="120"/>
      <c r="Z361" s="96"/>
      <c r="AA361" s="97"/>
      <c r="AB361" s="22"/>
      <c r="AC361" s="233"/>
      <c r="AD361" s="233"/>
      <c r="AE361" s="233"/>
      <c r="AF361" s="233"/>
      <c r="AG361" s="233"/>
      <c r="AH361" s="233"/>
      <c r="AJ361" s="95"/>
      <c r="AK361" s="96"/>
      <c r="AL361" s="97"/>
    </row>
    <row r="362" spans="1:38" x14ac:dyDescent="0.25">
      <c r="A362" s="11" t="s">
        <v>1134</v>
      </c>
      <c r="B362" s="11" t="s">
        <v>1101</v>
      </c>
      <c r="C362" s="3">
        <v>2014</v>
      </c>
      <c r="D362" s="1">
        <f t="shared" si="36"/>
        <v>15</v>
      </c>
      <c r="E362" s="233">
        <f>15</f>
        <v>15</v>
      </c>
      <c r="G362" s="233"/>
      <c r="P362" s="233"/>
      <c r="Y362" s="233"/>
    </row>
    <row r="363" spans="1:38" x14ac:dyDescent="0.25">
      <c r="A363" s="11" t="s">
        <v>1002</v>
      </c>
      <c r="B363" s="60" t="s">
        <v>86</v>
      </c>
      <c r="C363" s="62">
        <v>2015</v>
      </c>
      <c r="D363" s="1">
        <f t="shared" si="36"/>
        <v>87</v>
      </c>
      <c r="E363" s="233">
        <f>35+12</f>
        <v>47</v>
      </c>
      <c r="G363" s="154"/>
      <c r="I363" s="205">
        <f>31+9</f>
        <v>40</v>
      </c>
      <c r="O363" s="219">
        <f>AA363</f>
        <v>0</v>
      </c>
      <c r="P363" s="154"/>
      <c r="Q363" s="96">
        <f>AC363+I363+J363+K363+L363+M363+N363+O363</f>
        <v>40</v>
      </c>
      <c r="R363" s="97">
        <f>IF(C363=2017, Q363/3,Q363)+P363</f>
        <v>40</v>
      </c>
      <c r="Y363" s="120"/>
      <c r="Z363" s="96">
        <f>SUM(U363:X363)</f>
        <v>0</v>
      </c>
      <c r="AA363" s="97">
        <f>IF(C363=2016, Z363/3,Z363)+Y363</f>
        <v>0</v>
      </c>
      <c r="AB363" s="22"/>
      <c r="AJ363" s="95"/>
      <c r="AK363" s="96"/>
      <c r="AL363" s="97"/>
    </row>
    <row r="364" spans="1:38" x14ac:dyDescent="0.25">
      <c r="A364" s="11" t="s">
        <v>1108</v>
      </c>
      <c r="B364" s="60" t="s">
        <v>0</v>
      </c>
      <c r="C364" s="62">
        <v>2013</v>
      </c>
      <c r="D364" s="1">
        <f t="shared" si="36"/>
        <v>28</v>
      </c>
      <c r="E364" s="233">
        <f>28</f>
        <v>28</v>
      </c>
      <c r="G364" s="154"/>
      <c r="P364" s="154"/>
      <c r="Q364" s="96"/>
      <c r="R364" s="97"/>
      <c r="Y364" s="120"/>
      <c r="Z364" s="96"/>
      <c r="AA364" s="97"/>
      <c r="AB364" s="22"/>
      <c r="AJ364" s="95"/>
      <c r="AK364" s="96"/>
      <c r="AL364" s="97"/>
    </row>
    <row r="365" spans="1:38" x14ac:dyDescent="0.25">
      <c r="A365" s="11" t="s">
        <v>1020</v>
      </c>
      <c r="B365" s="60" t="s">
        <v>86</v>
      </c>
      <c r="C365" s="62">
        <v>2015</v>
      </c>
      <c r="D365" s="1">
        <f t="shared" si="36"/>
        <v>21</v>
      </c>
      <c r="E365" s="233">
        <f>15+6</f>
        <v>21</v>
      </c>
      <c r="G365" s="154"/>
      <c r="I365" s="205">
        <f>0</f>
        <v>0</v>
      </c>
      <c r="O365" s="219">
        <f>AA365</f>
        <v>0</v>
      </c>
      <c r="P365" s="154"/>
      <c r="Q365" s="96">
        <f>AC365+I365+J365+K365+L365+M365+N365+O365</f>
        <v>0</v>
      </c>
      <c r="R365" s="97">
        <f>IF(C365=2017, Q365/3,Q365)+P365</f>
        <v>0</v>
      </c>
      <c r="Y365" s="120"/>
      <c r="Z365" s="96">
        <f>SUM(U365:X365)</f>
        <v>0</v>
      </c>
      <c r="AA365" s="97">
        <f>IF(C365=2016, Z365/3,Z365)+Y365</f>
        <v>0</v>
      </c>
      <c r="AB365" s="22"/>
      <c r="AJ365" s="95"/>
      <c r="AK365" s="96"/>
      <c r="AL365" s="97"/>
    </row>
    <row r="366" spans="1:38" x14ac:dyDescent="0.25">
      <c r="A366" s="11" t="s">
        <v>1137</v>
      </c>
      <c r="B366" s="11" t="s">
        <v>1101</v>
      </c>
      <c r="C366" s="3">
        <v>2013</v>
      </c>
      <c r="D366" s="1">
        <f t="shared" si="36"/>
        <v>0</v>
      </c>
      <c r="E366" s="233">
        <f>0</f>
        <v>0</v>
      </c>
    </row>
    <row r="367" spans="1:38" ht="15.75" x14ac:dyDescent="0.25">
      <c r="A367" s="211" t="s">
        <v>1042</v>
      </c>
      <c r="B367" s="11" t="s">
        <v>86</v>
      </c>
      <c r="C367" s="3">
        <v>2014</v>
      </c>
      <c r="D367" s="1">
        <f t="shared" ref="D367:D371" si="37">R367+F367+E367</f>
        <v>0</v>
      </c>
      <c r="E367" s="233">
        <f>0</f>
        <v>0</v>
      </c>
      <c r="G367" s="154"/>
      <c r="I367" s="205">
        <f>0</f>
        <v>0</v>
      </c>
      <c r="O367" s="219">
        <f>AA367</f>
        <v>0</v>
      </c>
      <c r="P367" s="154"/>
      <c r="Q367" s="96">
        <f>AC367+I367+J367+K367+L367+M367+N367+O367</f>
        <v>0</v>
      </c>
      <c r="R367" s="97">
        <f>IF(C367=2017, Q367/3,Q367)+P367</f>
        <v>0</v>
      </c>
      <c r="Y367" s="120"/>
      <c r="Z367" s="96">
        <f>SUM(U367:X367)</f>
        <v>0</v>
      </c>
      <c r="AA367" s="97">
        <f>IF(C367=2016, Z367/3,Z367)+Y367</f>
        <v>0</v>
      </c>
      <c r="AB367" s="22"/>
      <c r="AJ367" s="95"/>
      <c r="AK367" s="96"/>
      <c r="AL367" s="97"/>
    </row>
    <row r="368" spans="1:38" x14ac:dyDescent="0.25">
      <c r="A368" s="11" t="s">
        <v>1044</v>
      </c>
      <c r="B368" s="60" t="s">
        <v>86</v>
      </c>
      <c r="C368" s="62">
        <v>2015</v>
      </c>
      <c r="D368" s="1">
        <f t="shared" si="37"/>
        <v>0</v>
      </c>
      <c r="E368" s="233">
        <f>0</f>
        <v>0</v>
      </c>
      <c r="G368" s="154"/>
      <c r="I368" s="205">
        <f>0</f>
        <v>0</v>
      </c>
      <c r="O368" s="219">
        <f>AA368</f>
        <v>0</v>
      </c>
      <c r="P368" s="154"/>
      <c r="Q368" s="96">
        <f>AC368+I368+J368+K368+L368+M368+N368+O368</f>
        <v>0</v>
      </c>
      <c r="R368" s="97">
        <f>IF(C368=2017, Q368/3,Q368)+P368</f>
        <v>0</v>
      </c>
      <c r="Y368" s="120"/>
      <c r="Z368" s="96">
        <f>SUM(U368:X368)</f>
        <v>0</v>
      </c>
      <c r="AA368" s="97">
        <f>IF(C368=2016, Z368/3,Z368)+Y368</f>
        <v>0</v>
      </c>
      <c r="AB368" s="22"/>
      <c r="AJ368" s="95"/>
      <c r="AK368" s="96"/>
      <c r="AL368" s="97"/>
    </row>
    <row r="369" spans="1:38" x14ac:dyDescent="0.25">
      <c r="A369" s="11" t="s">
        <v>1107</v>
      </c>
      <c r="B369" s="60" t="s">
        <v>6</v>
      </c>
      <c r="C369" s="62">
        <v>2014</v>
      </c>
      <c r="D369" s="1">
        <f t="shared" si="37"/>
        <v>31</v>
      </c>
      <c r="E369" s="233">
        <f>31</f>
        <v>31</v>
      </c>
      <c r="G369" s="154"/>
      <c r="P369" s="154"/>
      <c r="Q369" s="96"/>
      <c r="R369" s="97"/>
      <c r="Y369" s="120"/>
      <c r="Z369" s="96"/>
      <c r="AA369" s="97"/>
      <c r="AB369" s="22"/>
      <c r="AJ369" s="95"/>
      <c r="AK369" s="96"/>
      <c r="AL369" s="97"/>
    </row>
    <row r="370" spans="1:38" x14ac:dyDescent="0.25">
      <c r="A370" s="11" t="s">
        <v>1109</v>
      </c>
      <c r="B370" s="60" t="s">
        <v>842</v>
      </c>
      <c r="C370" s="62">
        <v>2014</v>
      </c>
      <c r="D370" s="1">
        <f t="shared" si="37"/>
        <v>24</v>
      </c>
      <c r="E370" s="233">
        <f>24</f>
        <v>24</v>
      </c>
      <c r="G370" s="154"/>
      <c r="P370" s="154"/>
      <c r="Q370" s="96"/>
      <c r="R370" s="97"/>
      <c r="Y370" s="120"/>
      <c r="Z370" s="96"/>
      <c r="AA370" s="97"/>
      <c r="AB370" s="22"/>
      <c r="AJ370" s="95"/>
      <c r="AK370" s="96"/>
      <c r="AL370" s="97"/>
    </row>
    <row r="371" spans="1:38" x14ac:dyDescent="0.25">
      <c r="A371" s="11" t="s">
        <v>1102</v>
      </c>
      <c r="B371" s="11" t="s">
        <v>1101</v>
      </c>
      <c r="C371" s="3">
        <v>2013</v>
      </c>
      <c r="D371" s="1">
        <f t="shared" si="37"/>
        <v>0</v>
      </c>
      <c r="E371" s="233">
        <f>0</f>
        <v>0</v>
      </c>
    </row>
  </sheetData>
  <autoFilter ref="B1:B362" xr:uid="{00000000-0001-0000-0100-000000000000}"/>
  <sortState xmlns:xlrd2="http://schemas.microsoft.com/office/spreadsheetml/2017/richdata2" ref="A32:BE258">
    <sortCondition ref="A258"/>
  </sortState>
  <mergeCells count="7">
    <mergeCell ref="A5:C5"/>
    <mergeCell ref="A31:C31"/>
    <mergeCell ref="A259:C259"/>
    <mergeCell ref="A1:C2"/>
    <mergeCell ref="AC3:AI3"/>
    <mergeCell ref="M3:N3"/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E1676"/>
  <sheetViews>
    <sheetView zoomScaleNormal="100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K38" sqref="K38"/>
    </sheetView>
  </sheetViews>
  <sheetFormatPr defaultRowHeight="15" x14ac:dyDescent="0.25"/>
  <cols>
    <col min="1" max="1" width="19.7109375" style="11" bestFit="1" customWidth="1"/>
    <col min="2" max="2" width="23.5703125" style="11" bestFit="1" customWidth="1"/>
    <col min="3" max="3" width="8.140625" style="3" bestFit="1" customWidth="1"/>
    <col min="4" max="4" width="12.140625" style="7" customWidth="1"/>
    <col min="5" max="5" width="12.28515625" style="233" customWidth="1"/>
    <col min="6" max="6" width="12.28515625" style="219" customWidth="1"/>
    <col min="7" max="7" width="11" style="219" customWidth="1"/>
    <col min="8" max="8" width="2.85546875" style="219" customWidth="1"/>
    <col min="9" max="15" width="12.42578125" style="108" customWidth="1"/>
    <col min="16" max="16" width="10.7109375" style="108" customWidth="1"/>
    <col min="17" max="18" width="9.140625" style="3"/>
    <col min="19" max="19" width="3.7109375" style="13" customWidth="1"/>
    <col min="20" max="20" width="12.42578125" style="108" customWidth="1"/>
    <col min="21" max="25" width="10.5703125" style="108" customWidth="1"/>
    <col min="26" max="26" width="8.5703125" style="3" customWidth="1"/>
    <col min="27" max="27" width="9.5703125" style="3" customWidth="1"/>
    <col min="28" max="28" width="3.7109375" style="13" customWidth="1"/>
    <col min="29" max="29" width="8.85546875" style="13" customWidth="1"/>
    <col min="30" max="34" width="10.5703125" style="13" customWidth="1"/>
    <col min="35" max="35" width="8.85546875" style="13" customWidth="1"/>
    <col min="36" max="36" width="10.42578125" style="13" customWidth="1"/>
    <col min="37" max="37" width="8.5703125" style="3" customWidth="1"/>
    <col min="38" max="38" width="9.5703125" style="3" customWidth="1"/>
    <col min="39" max="16384" width="9.140625" style="3"/>
  </cols>
  <sheetData>
    <row r="1" spans="1:38" ht="15" customHeight="1" x14ac:dyDescent="0.5">
      <c r="A1" s="244" t="s">
        <v>61</v>
      </c>
      <c r="B1" s="245"/>
      <c r="C1" s="261"/>
      <c r="D1" s="55"/>
      <c r="E1" s="102"/>
      <c r="F1" s="102"/>
      <c r="G1" s="102"/>
      <c r="H1" s="102"/>
      <c r="I1" s="106"/>
      <c r="J1" s="106"/>
      <c r="K1" s="106"/>
      <c r="L1" s="106"/>
      <c r="M1" s="106"/>
      <c r="N1" s="106"/>
      <c r="O1" s="106"/>
      <c r="P1" s="106"/>
      <c r="S1" s="56"/>
      <c r="T1" s="106"/>
      <c r="U1" s="106"/>
      <c r="V1" s="106"/>
      <c r="W1" s="106"/>
      <c r="X1" s="106"/>
      <c r="Y1" s="106"/>
      <c r="AB1" s="56"/>
      <c r="AC1" s="55"/>
      <c r="AD1" s="55"/>
      <c r="AE1" s="55"/>
      <c r="AF1" s="55"/>
      <c r="AG1" s="55"/>
      <c r="AH1" s="55"/>
      <c r="AI1" s="55"/>
      <c r="AJ1" s="55"/>
    </row>
    <row r="2" spans="1:38" ht="15" customHeight="1" x14ac:dyDescent="0.5">
      <c r="A2" s="246"/>
      <c r="B2" s="247"/>
      <c r="C2" s="262"/>
      <c r="D2" s="55"/>
      <c r="E2" s="103"/>
      <c r="F2" s="103"/>
      <c r="G2" s="103"/>
      <c r="H2" s="103"/>
      <c r="I2" s="106"/>
      <c r="J2" s="106"/>
      <c r="K2" s="106"/>
      <c r="L2" s="106"/>
      <c r="M2" s="106"/>
      <c r="N2" s="106"/>
      <c r="O2" s="106"/>
      <c r="P2" s="106"/>
      <c r="S2" s="56"/>
      <c r="T2" s="106"/>
      <c r="U2" s="106"/>
      <c r="V2" s="106"/>
      <c r="W2" s="106"/>
      <c r="X2" s="106"/>
      <c r="Y2" s="106"/>
      <c r="AB2" s="56"/>
      <c r="AC2" s="55"/>
      <c r="AD2" s="55"/>
      <c r="AE2" s="55"/>
      <c r="AF2" s="55"/>
      <c r="AG2" s="55"/>
      <c r="AH2" s="55"/>
      <c r="AI2" s="55"/>
      <c r="AJ2" s="55"/>
    </row>
    <row r="3" spans="1:38" s="6" customFormat="1" x14ac:dyDescent="0.25">
      <c r="A3" s="9"/>
      <c r="B3" s="9"/>
      <c r="D3" s="8"/>
      <c r="E3" s="250">
        <v>2025</v>
      </c>
      <c r="F3" s="251"/>
      <c r="G3" s="219"/>
      <c r="H3" s="36"/>
      <c r="I3" s="207"/>
      <c r="J3" s="198"/>
      <c r="K3" s="188"/>
      <c r="L3" s="172"/>
      <c r="M3" s="263">
        <v>2024</v>
      </c>
      <c r="N3" s="264"/>
      <c r="O3" s="227"/>
      <c r="P3" s="107"/>
      <c r="S3" s="8"/>
      <c r="T3" s="107"/>
      <c r="U3" s="107"/>
      <c r="V3" s="107"/>
      <c r="W3" s="107">
        <v>2023</v>
      </c>
      <c r="X3" s="107"/>
      <c r="Y3" s="107"/>
      <c r="AB3" s="8"/>
      <c r="AC3" s="256">
        <v>2022</v>
      </c>
      <c r="AD3" s="258"/>
      <c r="AE3" s="75"/>
      <c r="AF3" s="75"/>
      <c r="AG3" s="75"/>
      <c r="AH3" s="75"/>
      <c r="AI3" s="33"/>
      <c r="AJ3" s="44"/>
    </row>
    <row r="4" spans="1:38" s="5" customFormat="1" ht="107.25" customHeight="1" x14ac:dyDescent="0.25">
      <c r="A4" s="5" t="s">
        <v>1</v>
      </c>
      <c r="B4" s="10" t="s">
        <v>2</v>
      </c>
      <c r="C4" s="5" t="s">
        <v>3</v>
      </c>
      <c r="D4" s="49" t="s">
        <v>1091</v>
      </c>
      <c r="E4" s="239" t="s">
        <v>1090</v>
      </c>
      <c r="F4" s="231" t="s">
        <v>4</v>
      </c>
      <c r="G4" s="119" t="s">
        <v>5</v>
      </c>
      <c r="H4" s="231"/>
      <c r="I4" s="210" t="s">
        <v>463</v>
      </c>
      <c r="J4" s="201" t="s">
        <v>392</v>
      </c>
      <c r="K4" s="175" t="s">
        <v>228</v>
      </c>
      <c r="L4" s="175" t="s">
        <v>879</v>
      </c>
      <c r="M4" s="147" t="s">
        <v>292</v>
      </c>
      <c r="N4" s="147" t="s">
        <v>4</v>
      </c>
      <c r="O4" s="226" t="s">
        <v>546</v>
      </c>
      <c r="P4" s="119" t="s">
        <v>5</v>
      </c>
      <c r="Q4" s="96" t="s">
        <v>1073</v>
      </c>
      <c r="R4" s="97" t="s">
        <v>544</v>
      </c>
      <c r="S4" s="140"/>
      <c r="T4" s="139" t="s">
        <v>392</v>
      </c>
      <c r="U4" s="116" t="s">
        <v>228</v>
      </c>
      <c r="V4" s="116" t="s">
        <v>292</v>
      </c>
      <c r="W4" s="116" t="s">
        <v>4</v>
      </c>
      <c r="X4" s="105" t="s">
        <v>546</v>
      </c>
      <c r="Y4" s="119" t="s">
        <v>5</v>
      </c>
      <c r="Z4" s="96" t="s">
        <v>543</v>
      </c>
      <c r="AA4" s="97" t="s">
        <v>544</v>
      </c>
      <c r="AB4" s="42"/>
      <c r="AC4" s="44" t="s">
        <v>4</v>
      </c>
      <c r="AD4" s="59" t="s">
        <v>62</v>
      </c>
      <c r="AE4" s="73" t="s">
        <v>228</v>
      </c>
      <c r="AF4" s="79" t="s">
        <v>292</v>
      </c>
      <c r="AG4" s="81" t="s">
        <v>392</v>
      </c>
      <c r="AH4" s="93" t="s">
        <v>463</v>
      </c>
      <c r="AI4" s="33" t="s">
        <v>34</v>
      </c>
      <c r="AJ4" s="95" t="s">
        <v>5</v>
      </c>
      <c r="AK4" s="96" t="s">
        <v>543</v>
      </c>
      <c r="AL4" s="97" t="s">
        <v>544</v>
      </c>
    </row>
    <row r="5" spans="1:38" x14ac:dyDescent="0.25">
      <c r="A5" s="265" t="s">
        <v>13</v>
      </c>
      <c r="B5" s="266"/>
      <c r="C5" s="214"/>
      <c r="D5" s="23"/>
      <c r="G5" s="120"/>
      <c r="P5" s="122"/>
      <c r="Q5" s="96"/>
      <c r="R5" s="97"/>
      <c r="S5" s="141"/>
      <c r="Y5" s="122"/>
      <c r="Z5" s="96"/>
      <c r="AA5" s="97"/>
      <c r="AB5" s="91"/>
      <c r="AC5" s="34"/>
      <c r="AD5" s="37"/>
      <c r="AE5" s="57"/>
      <c r="AF5" s="69"/>
      <c r="AG5" s="78"/>
      <c r="AH5" s="88"/>
      <c r="AI5" s="34"/>
      <c r="AJ5" s="95"/>
      <c r="AK5" s="96"/>
      <c r="AL5" s="97"/>
    </row>
    <row r="6" spans="1:38" x14ac:dyDescent="0.25">
      <c r="G6" s="120"/>
    </row>
    <row r="7" spans="1:38" s="17" customFormat="1" x14ac:dyDescent="0.25">
      <c r="A7" s="253" t="s">
        <v>37</v>
      </c>
      <c r="B7" s="254"/>
      <c r="C7" s="213"/>
      <c r="D7" s="195"/>
      <c r="E7" s="233"/>
      <c r="F7" s="219"/>
      <c r="G7" s="154"/>
      <c r="H7" s="219"/>
      <c r="I7" s="156"/>
      <c r="J7" s="156"/>
      <c r="K7" s="156"/>
      <c r="L7" s="156"/>
      <c r="M7" s="156"/>
      <c r="N7" s="156"/>
      <c r="O7" s="156"/>
      <c r="P7" s="108"/>
      <c r="Q7" s="96">
        <f>AA7+I7+J7+K7+L7+M7+N7</f>
        <v>0</v>
      </c>
      <c r="R7" s="97">
        <f t="shared" ref="R7:R36" si="0">IF(C7=2017, Q7/3,Q7)+P7</f>
        <v>0</v>
      </c>
      <c r="S7" s="141"/>
      <c r="T7" s="108"/>
      <c r="U7" s="108"/>
      <c r="V7" s="108"/>
      <c r="W7" s="108"/>
      <c r="X7" s="108"/>
      <c r="Y7" s="108"/>
      <c r="Z7" s="68"/>
      <c r="AA7" s="68"/>
      <c r="AB7" s="141"/>
      <c r="AC7" s="41"/>
      <c r="AD7" s="41"/>
      <c r="AE7" s="41"/>
      <c r="AF7" s="41"/>
      <c r="AG7" s="41"/>
      <c r="AH7" s="41"/>
      <c r="AI7" s="41"/>
      <c r="AJ7" s="68"/>
      <c r="AK7" s="68"/>
      <c r="AL7" s="68"/>
    </row>
    <row r="8" spans="1:38" s="17" customFormat="1" x14ac:dyDescent="0.25">
      <c r="A8" s="76" t="s">
        <v>494</v>
      </c>
      <c r="B8" s="71" t="s">
        <v>491</v>
      </c>
      <c r="C8" s="3">
        <v>2014</v>
      </c>
      <c r="D8" s="2">
        <f>R8+F8</f>
        <v>83</v>
      </c>
      <c r="E8" s="233"/>
      <c r="F8" s="219"/>
      <c r="G8" s="120"/>
      <c r="H8" s="219"/>
      <c r="I8" s="108">
        <f>6</f>
        <v>6</v>
      </c>
      <c r="J8" s="108">
        <f>9</f>
        <v>9</v>
      </c>
      <c r="K8" s="108">
        <f>0</f>
        <v>0</v>
      </c>
      <c r="L8" s="108">
        <f>3</f>
        <v>3</v>
      </c>
      <c r="M8" s="108">
        <f>6</f>
        <v>6</v>
      </c>
      <c r="N8" s="108">
        <f>6</f>
        <v>6</v>
      </c>
      <c r="O8" s="108">
        <f>AA8</f>
        <v>53</v>
      </c>
      <c r="P8" s="122"/>
      <c r="Q8" s="96">
        <f>I8+J8+K8+L8+M8+N8+O8</f>
        <v>83</v>
      </c>
      <c r="R8" s="97">
        <f>IF(C8=2017, Q8/3,Q8)+P8</f>
        <v>83</v>
      </c>
      <c r="S8" s="141"/>
      <c r="T8" s="108"/>
      <c r="U8" s="108">
        <f>3</f>
        <v>3</v>
      </c>
      <c r="V8" s="108">
        <f>50</f>
        <v>50</v>
      </c>
      <c r="W8" s="108"/>
      <c r="X8" s="108">
        <f>AL8</f>
        <v>0</v>
      </c>
      <c r="Y8" s="122"/>
      <c r="Z8" s="96">
        <f>SUM(T8:X8)</f>
        <v>53</v>
      </c>
      <c r="AA8" s="97">
        <f>IF(C8=2016, Z8/3,Z8)+Y8</f>
        <v>53</v>
      </c>
      <c r="AB8" s="91"/>
      <c r="AC8" s="41"/>
      <c r="AD8" s="41"/>
      <c r="AE8" s="41"/>
      <c r="AF8" s="41"/>
      <c r="AG8" s="41"/>
      <c r="AH8" s="41">
        <f>0</f>
        <v>0</v>
      </c>
      <c r="AI8" s="41"/>
      <c r="AJ8" s="95"/>
      <c r="AK8" s="96">
        <f>SUM(AC8:AI8)</f>
        <v>0</v>
      </c>
      <c r="AL8" s="97">
        <f>IF(C8=2015, AK8/3,AK8)+AJ8</f>
        <v>0</v>
      </c>
    </row>
    <row r="9" spans="1:38" x14ac:dyDescent="0.25">
      <c r="A9" s="11" t="s">
        <v>268</v>
      </c>
      <c r="B9" s="11" t="s">
        <v>6</v>
      </c>
      <c r="C9" s="3">
        <v>2013</v>
      </c>
      <c r="D9" s="2">
        <f>R9+F9</f>
        <v>59</v>
      </c>
      <c r="G9" s="154"/>
      <c r="O9" s="108">
        <f>AA9</f>
        <v>59</v>
      </c>
      <c r="P9" s="122"/>
      <c r="Q9" s="96">
        <f>I9+J9+K9+L9+M9+N9+O9</f>
        <v>59</v>
      </c>
      <c r="R9" s="97">
        <f>IF(C9=2017, Q9/3,Q9)+P9</f>
        <v>59</v>
      </c>
      <c r="S9" s="141"/>
      <c r="V9" s="108">
        <f>32</f>
        <v>32</v>
      </c>
      <c r="W9" s="108">
        <f>0</f>
        <v>0</v>
      </c>
      <c r="X9" s="108">
        <f>AL9</f>
        <v>27</v>
      </c>
      <c r="Y9" s="122"/>
      <c r="Z9" s="96">
        <f>SUM(T9:X9)</f>
        <v>59</v>
      </c>
      <c r="AA9" s="97">
        <f>IF(C9=2016, Z9/3,Z9)+Y9</f>
        <v>59</v>
      </c>
      <c r="AB9" s="91"/>
      <c r="AE9" s="13">
        <f>6</f>
        <v>6</v>
      </c>
      <c r="AG9" s="13">
        <f>4</f>
        <v>4</v>
      </c>
      <c r="AH9" s="13">
        <f>0</f>
        <v>0</v>
      </c>
      <c r="AI9" s="13">
        <f>17</f>
        <v>17</v>
      </c>
      <c r="AJ9" s="95"/>
      <c r="AK9" s="96">
        <f>SUM(AC9:AI9)</f>
        <v>27</v>
      </c>
      <c r="AL9" s="97">
        <f>IF(C9=2015, AK9/3,AK9)+AJ9</f>
        <v>27</v>
      </c>
    </row>
    <row r="10" spans="1:38" s="17" customFormat="1" x14ac:dyDescent="0.25">
      <c r="A10" s="76" t="s">
        <v>631</v>
      </c>
      <c r="B10" s="71" t="s">
        <v>602</v>
      </c>
      <c r="C10" s="3"/>
      <c r="D10" s="2">
        <f>R10+F10</f>
        <v>6</v>
      </c>
      <c r="E10" s="156"/>
      <c r="F10" s="156"/>
      <c r="G10" s="154"/>
      <c r="H10" s="156"/>
      <c r="I10" s="108"/>
      <c r="J10" s="108"/>
      <c r="K10" s="108"/>
      <c r="L10" s="108"/>
      <c r="M10" s="108"/>
      <c r="N10" s="108"/>
      <c r="O10" s="108">
        <f>AA10</f>
        <v>6</v>
      </c>
      <c r="P10" s="122"/>
      <c r="Q10" s="96">
        <f>I10+J10+K10+L10+M10+N10+O10</f>
        <v>6</v>
      </c>
      <c r="R10" s="97">
        <f>IF(C10=2017, Q10/3,Q10)+P10</f>
        <v>6</v>
      </c>
      <c r="S10" s="141"/>
      <c r="T10" s="108"/>
      <c r="U10" s="108"/>
      <c r="V10" s="108">
        <f>6</f>
        <v>6</v>
      </c>
      <c r="W10" s="108"/>
      <c r="X10" s="108"/>
      <c r="Y10" s="122"/>
      <c r="Z10" s="96">
        <f>SUM(T10:X10)</f>
        <v>6</v>
      </c>
      <c r="AA10" s="97">
        <f>IF(C10=2016, Z10/3,Z10)+Y10</f>
        <v>6</v>
      </c>
      <c r="AB10" s="114"/>
      <c r="AC10" s="41"/>
      <c r="AD10" s="41"/>
      <c r="AE10" s="41"/>
      <c r="AF10" s="41"/>
      <c r="AG10" s="41"/>
      <c r="AH10" s="41"/>
      <c r="AI10" s="41"/>
      <c r="AJ10" s="95"/>
      <c r="AK10" s="96"/>
      <c r="AL10" s="97"/>
    </row>
    <row r="11" spans="1:38" s="17" customFormat="1" x14ac:dyDescent="0.25">
      <c r="A11" s="76" t="s">
        <v>756</v>
      </c>
      <c r="B11" s="71" t="s">
        <v>232</v>
      </c>
      <c r="C11" s="3">
        <v>2013</v>
      </c>
      <c r="D11" s="2">
        <f>R11+F11</f>
        <v>0</v>
      </c>
      <c r="E11" s="233"/>
      <c r="F11" s="219"/>
      <c r="G11" s="120"/>
      <c r="H11" s="219"/>
      <c r="I11" s="108"/>
      <c r="J11" s="108"/>
      <c r="K11" s="108"/>
      <c r="L11" s="108"/>
      <c r="M11" s="108"/>
      <c r="N11" s="108"/>
      <c r="O11" s="108">
        <f>AA11</f>
        <v>0</v>
      </c>
      <c r="P11" s="122"/>
      <c r="Q11" s="96">
        <f>I11+J11+K11+L11+M11+N11+O11</f>
        <v>0</v>
      </c>
      <c r="R11" s="97">
        <f>IF(C11=2017, Q11/3,Q11)+P11</f>
        <v>0</v>
      </c>
      <c r="S11" s="141"/>
      <c r="T11" s="108">
        <f>0</f>
        <v>0</v>
      </c>
      <c r="U11" s="108"/>
      <c r="V11" s="108"/>
      <c r="W11" s="108"/>
      <c r="X11" s="108"/>
      <c r="Y11" s="122"/>
      <c r="Z11" s="96">
        <f>SUM(T11:X11)</f>
        <v>0</v>
      </c>
      <c r="AA11" s="97">
        <f>IF(C11=2016, Z11/3,Z11)+Y11</f>
        <v>0</v>
      </c>
      <c r="AB11" s="137"/>
      <c r="AC11" s="41"/>
      <c r="AD11" s="41"/>
      <c r="AE11" s="41"/>
      <c r="AF11" s="41"/>
      <c r="AG11" s="41"/>
      <c r="AH11" s="41"/>
      <c r="AI11" s="41"/>
      <c r="AJ11" s="95"/>
      <c r="AK11" s="96"/>
      <c r="AL11" s="97"/>
    </row>
    <row r="12" spans="1:38" x14ac:dyDescent="0.25">
      <c r="A12" s="11" t="s">
        <v>685</v>
      </c>
      <c r="B12" s="11" t="s">
        <v>63</v>
      </c>
      <c r="C12" s="3">
        <v>2016</v>
      </c>
      <c r="D12" s="2">
        <f>R12+F12</f>
        <v>81</v>
      </c>
      <c r="G12" s="154"/>
      <c r="I12" s="108">
        <f>0+2</f>
        <v>2</v>
      </c>
      <c r="J12" s="108">
        <f>70</f>
        <v>70</v>
      </c>
      <c r="L12" s="108">
        <f>3</f>
        <v>3</v>
      </c>
      <c r="O12" s="108">
        <f>AA12</f>
        <v>6</v>
      </c>
      <c r="P12" s="122"/>
      <c r="Q12" s="96">
        <f>I12+J12+K12+L12+M12+N12+O12</f>
        <v>81</v>
      </c>
      <c r="R12" s="97">
        <f>IF(C12=2017, Q12/3,Q12)+P12</f>
        <v>81</v>
      </c>
      <c r="S12" s="101"/>
      <c r="U12" s="108">
        <f>6</f>
        <v>6</v>
      </c>
      <c r="Y12" s="122"/>
      <c r="Z12" s="3">
        <f>SUM(T12:X12)</f>
        <v>6</v>
      </c>
      <c r="AA12" s="3">
        <f>Z12</f>
        <v>6</v>
      </c>
      <c r="AB12" s="101"/>
      <c r="AC12" s="41"/>
      <c r="AD12" s="41"/>
      <c r="AE12" s="41"/>
      <c r="AF12" s="41"/>
      <c r="AG12" s="41"/>
      <c r="AH12" s="41"/>
      <c r="AI12" s="41"/>
      <c r="AJ12" s="3"/>
    </row>
    <row r="13" spans="1:38" x14ac:dyDescent="0.25">
      <c r="A13" s="11" t="s">
        <v>270</v>
      </c>
      <c r="B13" s="11" t="s">
        <v>8</v>
      </c>
      <c r="C13" s="3">
        <v>2013</v>
      </c>
      <c r="D13" s="2">
        <f>R13+F13</f>
        <v>0</v>
      </c>
      <c r="E13" s="158"/>
      <c r="F13" s="158"/>
      <c r="G13" s="120"/>
      <c r="H13" s="158"/>
      <c r="O13" s="108">
        <f>AA13</f>
        <v>0</v>
      </c>
      <c r="P13" s="122"/>
      <c r="Q13" s="96">
        <f>I13+J13+K13+L13+M13+N13+O13</f>
        <v>0</v>
      </c>
      <c r="R13" s="97">
        <f>IF(C13=2017, Q13/3,Q13)+P13</f>
        <v>0</v>
      </c>
      <c r="S13" s="204"/>
      <c r="V13" s="108">
        <f>0</f>
        <v>0</v>
      </c>
      <c r="X13" s="108">
        <f>AL13</f>
        <v>0</v>
      </c>
      <c r="Y13" s="122"/>
      <c r="Z13" s="96">
        <f>SUM(T13:X13)</f>
        <v>0</v>
      </c>
      <c r="AA13" s="97">
        <f>IF(C13=2016, Z13/3,Z13)+Y13</f>
        <v>0</v>
      </c>
      <c r="AB13" s="204"/>
      <c r="AE13" s="13">
        <f>0</f>
        <v>0</v>
      </c>
      <c r="AF13" s="13">
        <f>0</f>
        <v>0</v>
      </c>
      <c r="AG13" s="13">
        <f>0</f>
        <v>0</v>
      </c>
      <c r="AI13" s="13">
        <f>0</f>
        <v>0</v>
      </c>
      <c r="AJ13" s="157"/>
      <c r="AK13" s="96">
        <f>SUM(AC13:AI13)</f>
        <v>0</v>
      </c>
      <c r="AL13" s="97">
        <f>IF(C13=2015, AK13/3,AK13)+AJ13</f>
        <v>0</v>
      </c>
    </row>
    <row r="14" spans="1:38" s="52" customFormat="1" x14ac:dyDescent="0.25">
      <c r="A14" s="76" t="s">
        <v>777</v>
      </c>
      <c r="B14" s="71" t="s">
        <v>63</v>
      </c>
      <c r="C14" s="3">
        <v>2014</v>
      </c>
      <c r="D14" s="2">
        <f>R14+F14</f>
        <v>23</v>
      </c>
      <c r="E14" s="233"/>
      <c r="F14" s="219"/>
      <c r="G14" s="120"/>
      <c r="H14" s="219"/>
      <c r="I14" s="108">
        <f>9</f>
        <v>9</v>
      </c>
      <c r="J14" s="13"/>
      <c r="K14" s="108">
        <f>1</f>
        <v>1</v>
      </c>
      <c r="L14" s="108">
        <f>6+4</f>
        <v>10</v>
      </c>
      <c r="M14" s="108">
        <f>1</f>
        <v>1</v>
      </c>
      <c r="N14" s="108">
        <f>2</f>
        <v>2</v>
      </c>
      <c r="O14" s="108">
        <f>AA14</f>
        <v>0</v>
      </c>
      <c r="P14" s="122"/>
      <c r="Q14" s="96">
        <f>I14+J14+K14+L14+M14+N14+O14</f>
        <v>23</v>
      </c>
      <c r="R14" s="97">
        <f>IF(C14=2017, Q14/3,Q14)+P14</f>
        <v>23</v>
      </c>
      <c r="S14" s="141"/>
      <c r="T14" s="108"/>
      <c r="U14" s="108"/>
      <c r="V14" s="108"/>
      <c r="W14" s="108"/>
      <c r="X14" s="108"/>
      <c r="Y14" s="122"/>
      <c r="Z14" s="96"/>
      <c r="AA14" s="97"/>
      <c r="AB14" s="91"/>
      <c r="AC14" s="41"/>
      <c r="AD14" s="41"/>
      <c r="AE14" s="41"/>
      <c r="AF14" s="41"/>
      <c r="AG14" s="41"/>
      <c r="AH14" s="41"/>
      <c r="AI14" s="41"/>
      <c r="AJ14" s="95"/>
      <c r="AK14" s="96"/>
      <c r="AL14" s="97"/>
    </row>
    <row r="15" spans="1:38" s="17" customFormat="1" x14ac:dyDescent="0.25">
      <c r="A15" s="76" t="s">
        <v>908</v>
      </c>
      <c r="B15" s="71" t="s">
        <v>0</v>
      </c>
      <c r="C15" s="3">
        <v>2014</v>
      </c>
      <c r="D15" s="2">
        <f>R15+F15</f>
        <v>5</v>
      </c>
      <c r="E15" s="233"/>
      <c r="F15" s="219"/>
      <c r="G15" s="120"/>
      <c r="H15" s="219"/>
      <c r="I15" s="108"/>
      <c r="J15" s="212"/>
      <c r="K15" s="108">
        <f>2</f>
        <v>2</v>
      </c>
      <c r="L15" s="108">
        <f>3</f>
        <v>3</v>
      </c>
      <c r="M15" s="108"/>
      <c r="N15" s="108"/>
      <c r="O15" s="108">
        <f>AA15</f>
        <v>0</v>
      </c>
      <c r="P15" s="122"/>
      <c r="Q15" s="96">
        <f>I15+J15+K15+L15+M15+N15+O15</f>
        <v>5</v>
      </c>
      <c r="R15" s="97">
        <f>IF(C15=2017, Q15/3,Q15)+P15</f>
        <v>5</v>
      </c>
      <c r="S15" s="236"/>
      <c r="T15" s="108"/>
      <c r="U15" s="212"/>
      <c r="V15" s="108"/>
      <c r="W15" s="108"/>
      <c r="X15" s="108"/>
      <c r="Y15" s="122"/>
      <c r="Z15" s="96"/>
      <c r="AA15" s="97"/>
      <c r="AB15" s="236"/>
      <c r="AC15" s="41"/>
      <c r="AD15" s="41"/>
      <c r="AE15" s="41"/>
      <c r="AF15" s="41"/>
      <c r="AG15" s="41"/>
      <c r="AH15" s="41"/>
      <c r="AI15" s="41"/>
      <c r="AJ15" s="157"/>
      <c r="AK15" s="96"/>
      <c r="AL15" s="97"/>
    </row>
    <row r="16" spans="1:38" x14ac:dyDescent="0.25">
      <c r="A16" s="11" t="s">
        <v>834</v>
      </c>
      <c r="B16" s="11" t="s">
        <v>63</v>
      </c>
      <c r="C16" s="3">
        <v>2017</v>
      </c>
      <c r="D16" s="2">
        <f>R16+F16</f>
        <v>3.3333333333333335</v>
      </c>
      <c r="G16" s="120"/>
      <c r="K16" s="108">
        <f>3</f>
        <v>3</v>
      </c>
      <c r="L16" s="108">
        <f>4+3</f>
        <v>7</v>
      </c>
      <c r="M16" s="108">
        <f>0</f>
        <v>0</v>
      </c>
      <c r="O16" s="108">
        <f>AA16</f>
        <v>0</v>
      </c>
      <c r="P16" s="122"/>
      <c r="Q16" s="96">
        <f>I16+J16+K16+L16+M16+N16+O16</f>
        <v>10</v>
      </c>
      <c r="R16" s="97">
        <f>IF(C16=2017, Q16/3,Q16)+P16</f>
        <v>3.3333333333333335</v>
      </c>
      <c r="S16" s="101"/>
      <c r="U16" s="291"/>
      <c r="Y16" s="122"/>
      <c r="AB16" s="101"/>
      <c r="AC16" s="41"/>
      <c r="AD16" s="41"/>
      <c r="AE16" s="41"/>
      <c r="AF16" s="41"/>
      <c r="AG16" s="41"/>
      <c r="AH16" s="41"/>
      <c r="AI16" s="41"/>
      <c r="AJ16" s="74"/>
    </row>
    <row r="17" spans="1:57" x14ac:dyDescent="0.25">
      <c r="A17" s="76" t="s">
        <v>778</v>
      </c>
      <c r="B17" s="71" t="s">
        <v>63</v>
      </c>
      <c r="C17" s="3">
        <v>2014</v>
      </c>
      <c r="D17" s="2">
        <f>R17+F17</f>
        <v>16</v>
      </c>
      <c r="G17" s="154"/>
      <c r="K17" s="108">
        <f>3</f>
        <v>3</v>
      </c>
      <c r="L17" s="108">
        <f>5+4</f>
        <v>9</v>
      </c>
      <c r="M17" s="108">
        <f>3</f>
        <v>3</v>
      </c>
      <c r="N17" s="108">
        <f>1</f>
        <v>1</v>
      </c>
      <c r="O17" s="108">
        <f>AA17</f>
        <v>0</v>
      </c>
      <c r="P17" s="122"/>
      <c r="Q17" s="96">
        <f>I17+J17+K17+L17+M17+N17+O17</f>
        <v>16</v>
      </c>
      <c r="R17" s="97">
        <f>IF(C17=2017, Q17/3,Q17)+P17</f>
        <v>16</v>
      </c>
      <c r="S17" s="236"/>
      <c r="Y17" s="122"/>
      <c r="Z17" s="96"/>
      <c r="AA17" s="97"/>
      <c r="AB17" s="236"/>
      <c r="AC17" s="41"/>
      <c r="AD17" s="41"/>
      <c r="AE17" s="41"/>
      <c r="AF17" s="41"/>
      <c r="AG17" s="41"/>
      <c r="AH17" s="41"/>
      <c r="AI17" s="41"/>
      <c r="AJ17" s="95"/>
      <c r="AK17" s="96"/>
      <c r="AL17" s="97"/>
    </row>
    <row r="18" spans="1:57" s="17" customFormat="1" x14ac:dyDescent="0.25">
      <c r="A18" s="11" t="s">
        <v>718</v>
      </c>
      <c r="B18" s="11" t="s">
        <v>63</v>
      </c>
      <c r="C18" s="3">
        <v>2016</v>
      </c>
      <c r="D18" s="2">
        <f>R18+F18</f>
        <v>18</v>
      </c>
      <c r="E18" s="233"/>
      <c r="F18" s="219"/>
      <c r="G18" s="154"/>
      <c r="H18" s="219"/>
      <c r="I18" s="108">
        <f>3+2</f>
        <v>5</v>
      </c>
      <c r="J18" s="108">
        <f>0</f>
        <v>0</v>
      </c>
      <c r="K18" s="108">
        <f>4</f>
        <v>4</v>
      </c>
      <c r="L18" s="108">
        <f>2</f>
        <v>2</v>
      </c>
      <c r="M18" s="108">
        <f>4</f>
        <v>4</v>
      </c>
      <c r="N18" s="108">
        <f>3</f>
        <v>3</v>
      </c>
      <c r="O18" s="108">
        <f>AA18</f>
        <v>0</v>
      </c>
      <c r="P18" s="122"/>
      <c r="Q18" s="96">
        <f>I18+J18+K18+L18+M18+N18+O18</f>
        <v>18</v>
      </c>
      <c r="R18" s="97">
        <f>IF(C18=2017, Q18/3,Q18)+P18</f>
        <v>18</v>
      </c>
      <c r="S18" s="101"/>
      <c r="T18" s="108">
        <f>0</f>
        <v>0</v>
      </c>
      <c r="U18" s="108"/>
      <c r="V18" s="108"/>
      <c r="W18" s="108"/>
      <c r="X18" s="108"/>
      <c r="Y18" s="122"/>
      <c r="Z18" s="96">
        <f>SUM(T18:X18)</f>
        <v>0</v>
      </c>
      <c r="AA18" s="97">
        <f>IF(C18=2016, Z18/3,Z18)+Y18</f>
        <v>0</v>
      </c>
      <c r="AB18" s="101"/>
      <c r="AC18" s="41"/>
      <c r="AD18" s="41"/>
      <c r="AE18" s="41"/>
      <c r="AF18" s="41"/>
      <c r="AG18" s="41"/>
      <c r="AH18" s="41"/>
      <c r="AI18" s="41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57" x14ac:dyDescent="0.25">
      <c r="A19" s="11" t="s">
        <v>29</v>
      </c>
      <c r="B19" s="11" t="s">
        <v>8</v>
      </c>
      <c r="C19" s="3">
        <v>2013</v>
      </c>
      <c r="D19" s="2">
        <f>R19+F19</f>
        <v>9</v>
      </c>
      <c r="G19" s="120"/>
      <c r="O19" s="108">
        <f>AA19</f>
        <v>9</v>
      </c>
      <c r="P19" s="122"/>
      <c r="Q19" s="96">
        <f>I19+J19+K19+L19+M19+N19+O19</f>
        <v>9</v>
      </c>
      <c r="R19" s="97">
        <f>IF(C19=2017, Q19/3,Q19)+P19</f>
        <v>9</v>
      </c>
      <c r="S19" s="141"/>
      <c r="X19" s="108">
        <f>AL19</f>
        <v>9</v>
      </c>
      <c r="Y19" s="122"/>
      <c r="Z19" s="96">
        <f>SUM(T19:X19)</f>
        <v>9</v>
      </c>
      <c r="AA19" s="97">
        <f>IF(C19=2016, Z19/3,Z19)+Y19</f>
        <v>9</v>
      </c>
      <c r="AB19" s="91"/>
      <c r="AC19" s="237">
        <f>0</f>
        <v>0</v>
      </c>
      <c r="AD19" s="237"/>
      <c r="AE19" s="237"/>
      <c r="AF19" s="237"/>
      <c r="AG19" s="237"/>
      <c r="AH19" s="237"/>
      <c r="AI19" s="237">
        <v>9</v>
      </c>
      <c r="AJ19" s="95"/>
      <c r="AK19" s="96">
        <f>SUM(AC19:AI19)</f>
        <v>9</v>
      </c>
      <c r="AL19" s="97">
        <f>IF(C19=2015, AK19/3,AK19)+AJ19</f>
        <v>9</v>
      </c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1:57" x14ac:dyDescent="0.25">
      <c r="A20" s="11" t="s">
        <v>107</v>
      </c>
      <c r="B20" s="11" t="s">
        <v>41</v>
      </c>
      <c r="C20" s="3">
        <v>2014</v>
      </c>
      <c r="D20" s="2">
        <f>R20+F20</f>
        <v>194</v>
      </c>
      <c r="E20" s="233">
        <f>6</f>
        <v>6</v>
      </c>
      <c r="G20" s="120"/>
      <c r="I20" s="108">
        <f>9</f>
        <v>9</v>
      </c>
      <c r="J20" s="108">
        <f>12</f>
        <v>12</v>
      </c>
      <c r="K20" s="108">
        <f>9</f>
        <v>9</v>
      </c>
      <c r="L20" s="108">
        <f>0+3</f>
        <v>3</v>
      </c>
      <c r="M20" s="108">
        <f>0+6</f>
        <v>6</v>
      </c>
      <c r="N20" s="108">
        <f>3</f>
        <v>3</v>
      </c>
      <c r="O20" s="108">
        <f>AA20</f>
        <v>152</v>
      </c>
      <c r="P20" s="122"/>
      <c r="Q20" s="96">
        <f>I20+J20+K20+L20+M20+N20+O20</f>
        <v>194</v>
      </c>
      <c r="R20" s="97">
        <f>IF(C20=2017, Q20/3,Q20)+P20</f>
        <v>194</v>
      </c>
      <c r="S20" s="141"/>
      <c r="T20" s="108">
        <f>3</f>
        <v>3</v>
      </c>
      <c r="V20" s="108">
        <f>75</f>
        <v>75</v>
      </c>
      <c r="W20" s="108">
        <f>3</f>
        <v>3</v>
      </c>
      <c r="X20" s="108">
        <f>AL20</f>
        <v>71</v>
      </c>
      <c r="Y20" s="122"/>
      <c r="Z20" s="96">
        <f>SUM(T20:X20)</f>
        <v>152</v>
      </c>
      <c r="AA20" s="97">
        <f>IF(C20=2016, Z20/3,Z20)+Y20</f>
        <v>152</v>
      </c>
      <c r="AB20" s="91"/>
      <c r="AC20" s="41">
        <f>7</f>
        <v>7</v>
      </c>
      <c r="AD20" s="41">
        <f>33</f>
        <v>33</v>
      </c>
      <c r="AE20" s="41"/>
      <c r="AF20" s="41">
        <f>24</f>
        <v>24</v>
      </c>
      <c r="AG20" s="41">
        <f>3</f>
        <v>3</v>
      </c>
      <c r="AH20" s="41">
        <f>3</f>
        <v>3</v>
      </c>
      <c r="AI20" s="41">
        <f>1</f>
        <v>1</v>
      </c>
      <c r="AJ20" s="95"/>
      <c r="AK20" s="96">
        <f>SUM(AC20:AI20)</f>
        <v>71</v>
      </c>
      <c r="AL20" s="97">
        <f>IF(C20=2015, AK20/3,AK20)+AJ20</f>
        <v>71</v>
      </c>
    </row>
    <row r="21" spans="1:57" x14ac:dyDescent="0.25">
      <c r="A21" s="11" t="s">
        <v>907</v>
      </c>
      <c r="B21" s="11" t="s">
        <v>0</v>
      </c>
      <c r="C21" s="3">
        <v>2013</v>
      </c>
      <c r="D21" s="2">
        <f>R21+F21</f>
        <v>4</v>
      </c>
      <c r="G21" s="154"/>
      <c r="L21" s="108">
        <f>4</f>
        <v>4</v>
      </c>
      <c r="O21" s="108">
        <f>AA21</f>
        <v>0</v>
      </c>
      <c r="P21" s="122"/>
      <c r="Q21" s="96">
        <f>I21+J21+K21+L21+M21+N21+O21</f>
        <v>4</v>
      </c>
      <c r="R21" s="97">
        <f>IF(C21=2017, Q21/3,Q21)+P21</f>
        <v>4</v>
      </c>
      <c r="S21" s="101"/>
      <c r="Y21" s="122"/>
      <c r="Z21" s="96"/>
      <c r="AA21" s="97"/>
      <c r="AB21" s="101"/>
      <c r="AC21" s="41"/>
      <c r="AD21" s="41"/>
      <c r="AE21" s="41"/>
      <c r="AF21" s="41"/>
      <c r="AG21" s="41"/>
      <c r="AH21" s="41"/>
      <c r="AI21" s="41"/>
      <c r="AJ21" s="3"/>
    </row>
    <row r="22" spans="1:57" x14ac:dyDescent="0.25">
      <c r="A22" s="76" t="s">
        <v>549</v>
      </c>
      <c r="B22" s="71" t="s">
        <v>64</v>
      </c>
      <c r="C22" s="3">
        <v>2013</v>
      </c>
      <c r="D22" s="2">
        <f>R22+F22</f>
        <v>39</v>
      </c>
      <c r="E22" s="237"/>
      <c r="F22" s="237"/>
      <c r="G22" s="120"/>
      <c r="H22" s="237"/>
      <c r="O22" s="108">
        <f>AA22</f>
        <v>39</v>
      </c>
      <c r="P22" s="122"/>
      <c r="Q22" s="96">
        <f>I22+J22+K22+L22+M22+N22+O22</f>
        <v>39</v>
      </c>
      <c r="R22" s="97">
        <f>IF(C22=2017, Q22/3,Q22)+P22</f>
        <v>39</v>
      </c>
      <c r="S22" s="141"/>
      <c r="W22" s="108">
        <f>39</f>
        <v>39</v>
      </c>
      <c r="Y22" s="122"/>
      <c r="Z22" s="96">
        <f>SUM(T22:X22)</f>
        <v>39</v>
      </c>
      <c r="AA22" s="97">
        <f>IF(C22=2016, Z22/3,Z22)+Y22</f>
        <v>39</v>
      </c>
      <c r="AB22" s="114"/>
      <c r="AC22" s="41"/>
      <c r="AD22" s="41"/>
      <c r="AE22" s="41"/>
      <c r="AF22" s="41"/>
      <c r="AG22" s="41"/>
      <c r="AH22" s="41"/>
      <c r="AI22" s="41"/>
      <c r="AJ22" s="95"/>
      <c r="AK22" s="96"/>
      <c r="AL22" s="97"/>
    </row>
    <row r="23" spans="1:57" x14ac:dyDescent="0.25">
      <c r="A23" s="76" t="s">
        <v>267</v>
      </c>
      <c r="B23" s="71" t="s">
        <v>232</v>
      </c>
      <c r="D23" s="2">
        <f>R23+F23</f>
        <v>42</v>
      </c>
      <c r="G23" s="120"/>
      <c r="O23" s="108">
        <f>AA23</f>
        <v>42</v>
      </c>
      <c r="P23" s="122"/>
      <c r="Q23" s="96">
        <f>I23+J23+K23+L23+M23+N23+O23</f>
        <v>42</v>
      </c>
      <c r="R23" s="97">
        <f>IF(C23=2017, Q23/3,Q23)+P23</f>
        <v>42</v>
      </c>
      <c r="S23" s="236"/>
      <c r="X23" s="108">
        <f>AL23</f>
        <v>42</v>
      </c>
      <c r="Y23" s="122"/>
      <c r="Z23" s="96">
        <f>SUM(T23:X23)</f>
        <v>42</v>
      </c>
      <c r="AA23" s="97">
        <f>IF(C23=2016, Z23/3,Z23)+Y23</f>
        <v>42</v>
      </c>
      <c r="AB23" s="236"/>
      <c r="AE23" s="13">
        <f>9</f>
        <v>9</v>
      </c>
      <c r="AF23" s="13">
        <f>33</f>
        <v>33</v>
      </c>
      <c r="AJ23" s="95"/>
      <c r="AK23" s="96">
        <f>SUM(AC23:AI23)</f>
        <v>42</v>
      </c>
      <c r="AL23" s="97">
        <f>IF(C23=2015, AK23/3,AK23)+AJ23</f>
        <v>42</v>
      </c>
    </row>
    <row r="24" spans="1:57" x14ac:dyDescent="0.25">
      <c r="A24" s="11" t="s">
        <v>16</v>
      </c>
      <c r="B24" s="11" t="s">
        <v>0</v>
      </c>
      <c r="C24" s="3">
        <v>2013</v>
      </c>
      <c r="D24" s="2">
        <f>R24+F24</f>
        <v>235</v>
      </c>
      <c r="E24" s="156">
        <f>9</f>
        <v>9</v>
      </c>
      <c r="F24" s="156"/>
      <c r="G24" s="122"/>
      <c r="H24" s="156"/>
      <c r="I24" s="108">
        <f>15</f>
        <v>15</v>
      </c>
      <c r="J24" s="108">
        <f>15</f>
        <v>15</v>
      </c>
      <c r="K24" s="108">
        <f>3+3</f>
        <v>6</v>
      </c>
      <c r="L24" s="108">
        <f>6+9</f>
        <v>15</v>
      </c>
      <c r="M24" s="108">
        <f>3+9</f>
        <v>12</v>
      </c>
      <c r="N24" s="108">
        <f>0+6</f>
        <v>6</v>
      </c>
      <c r="O24" s="108">
        <f>AA24</f>
        <v>166</v>
      </c>
      <c r="P24" s="122"/>
      <c r="Q24" s="96">
        <f>I24+J24+K24+L24+M24+N24+O24</f>
        <v>235</v>
      </c>
      <c r="R24" s="97">
        <f>IF(C24=2017, Q24/3,Q24)+P24</f>
        <v>235</v>
      </c>
      <c r="S24" s="236"/>
      <c r="T24" s="108">
        <f>9</f>
        <v>9</v>
      </c>
      <c r="U24" s="108">
        <f>15</f>
        <v>15</v>
      </c>
      <c r="V24" s="108">
        <f>26</f>
        <v>26</v>
      </c>
      <c r="W24" s="108">
        <f>6+3</f>
        <v>9</v>
      </c>
      <c r="X24" s="108">
        <f>AL24</f>
        <v>107</v>
      </c>
      <c r="Y24" s="122"/>
      <c r="Z24" s="96">
        <f>SUM(T24:X24)</f>
        <v>166</v>
      </c>
      <c r="AA24" s="97">
        <f>IF(C24=2016, Z24/3,Z24)+Y24</f>
        <v>166</v>
      </c>
      <c r="AB24" s="236"/>
      <c r="AC24" s="237">
        <f>3</f>
        <v>3</v>
      </c>
      <c r="AD24" s="237"/>
      <c r="AE24" s="237">
        <f>15</f>
        <v>15</v>
      </c>
      <c r="AF24" s="237">
        <f>15</f>
        <v>15</v>
      </c>
      <c r="AG24" s="237">
        <f>9</f>
        <v>9</v>
      </c>
      <c r="AH24" s="237">
        <f>24+3</f>
        <v>27</v>
      </c>
      <c r="AI24" s="150">
        <v>38</v>
      </c>
      <c r="AJ24" s="95"/>
      <c r="AK24" s="96">
        <f>SUM(AC24:AI24)</f>
        <v>107</v>
      </c>
      <c r="AL24" s="97">
        <f>IF(C24=2015, AK24/3,AK24)+AJ24</f>
        <v>107</v>
      </c>
    </row>
    <row r="25" spans="1:57" x14ac:dyDescent="0.25">
      <c r="A25" s="11" t="s">
        <v>849</v>
      </c>
      <c r="B25" s="11" t="s">
        <v>0</v>
      </c>
      <c r="C25" s="3">
        <v>2014</v>
      </c>
      <c r="D25" s="2">
        <f>R25+F25</f>
        <v>3</v>
      </c>
      <c r="E25" s="233">
        <f>0</f>
        <v>0</v>
      </c>
      <c r="G25" s="120"/>
      <c r="L25" s="108">
        <f>1</f>
        <v>1</v>
      </c>
      <c r="M25" s="108">
        <f>2</f>
        <v>2</v>
      </c>
      <c r="O25" s="108">
        <f>AA25</f>
        <v>0</v>
      </c>
      <c r="P25" s="122"/>
      <c r="Q25" s="96">
        <f>I25+J25+K25+L25+M25+N25+O25</f>
        <v>3</v>
      </c>
      <c r="R25" s="97">
        <f>IF(C25=2017, Q25/3,Q25)+P25</f>
        <v>3</v>
      </c>
      <c r="S25" s="101"/>
      <c r="Y25" s="122"/>
      <c r="Z25" s="96"/>
      <c r="AA25" s="97"/>
      <c r="AB25" s="101"/>
      <c r="AC25" s="41"/>
      <c r="AD25" s="41"/>
      <c r="AE25" s="41"/>
      <c r="AF25" s="41"/>
      <c r="AG25" s="41"/>
      <c r="AH25" s="41"/>
      <c r="AI25" s="193"/>
      <c r="AJ25" s="3"/>
    </row>
    <row r="26" spans="1:57" x14ac:dyDescent="0.25">
      <c r="A26" s="45" t="s">
        <v>684</v>
      </c>
      <c r="B26" s="66" t="s">
        <v>0</v>
      </c>
      <c r="C26" s="46">
        <v>2016</v>
      </c>
      <c r="D26" s="2">
        <f>R26+F26</f>
        <v>128</v>
      </c>
      <c r="E26" s="233">
        <f>3</f>
        <v>3</v>
      </c>
      <c r="G26" s="120"/>
      <c r="J26" s="108">
        <f>38</f>
        <v>38</v>
      </c>
      <c r="K26" s="108">
        <f>28+8+2</f>
        <v>38</v>
      </c>
      <c r="L26" s="108">
        <f>7+15</f>
        <v>22</v>
      </c>
      <c r="M26" s="108">
        <f>5</f>
        <v>5</v>
      </c>
      <c r="N26" s="108">
        <f>4</f>
        <v>4</v>
      </c>
      <c r="O26" s="108">
        <f>AA26</f>
        <v>21</v>
      </c>
      <c r="P26" s="122"/>
      <c r="Q26" s="96">
        <f>I26+J26+K26+L26+M26+N26+O26</f>
        <v>128</v>
      </c>
      <c r="R26" s="97">
        <f>IF(C26=2017, Q26/3,Q26)+P26</f>
        <v>128</v>
      </c>
      <c r="S26" s="101"/>
      <c r="T26" s="108">
        <f>9</f>
        <v>9</v>
      </c>
      <c r="U26" s="108">
        <f>12</f>
        <v>12</v>
      </c>
      <c r="Y26" s="122"/>
      <c r="Z26" s="3">
        <f>SUM(T26:X26)</f>
        <v>21</v>
      </c>
      <c r="AA26" s="3">
        <f>Z26</f>
        <v>21</v>
      </c>
      <c r="AB26" s="101"/>
      <c r="AC26" s="41"/>
      <c r="AD26" s="41"/>
      <c r="AE26" s="41"/>
      <c r="AF26" s="41"/>
      <c r="AG26" s="41"/>
      <c r="AH26" s="41"/>
      <c r="AJ26" s="3"/>
    </row>
    <row r="27" spans="1:57" x14ac:dyDescent="0.25">
      <c r="A27" s="76" t="s">
        <v>625</v>
      </c>
      <c r="B27" s="71" t="s">
        <v>602</v>
      </c>
      <c r="D27" s="2">
        <f>R27+F27</f>
        <v>48</v>
      </c>
      <c r="G27" s="120"/>
      <c r="O27" s="108">
        <f>AA27</f>
        <v>48</v>
      </c>
      <c r="P27" s="122"/>
      <c r="Q27" s="96">
        <f>I27+J27+K27+L27+M27+N27+O27</f>
        <v>48</v>
      </c>
      <c r="R27" s="97">
        <f>IF(C27=2017, Q27/3,Q27)+P27</f>
        <v>48</v>
      </c>
      <c r="S27" s="236"/>
      <c r="V27" s="108">
        <f>48</f>
        <v>48</v>
      </c>
      <c r="Y27" s="122"/>
      <c r="Z27" s="96">
        <f>SUM(T27:X27)</f>
        <v>48</v>
      </c>
      <c r="AA27" s="97">
        <f>IF(C27=2016, Z27/3,Z27)+Y27</f>
        <v>48</v>
      </c>
      <c r="AB27" s="236"/>
      <c r="AI27" s="17"/>
      <c r="AJ27" s="95"/>
      <c r="AK27" s="96"/>
      <c r="AL27" s="97"/>
    </row>
    <row r="28" spans="1:57" x14ac:dyDescent="0.25">
      <c r="A28" s="71" t="s">
        <v>298</v>
      </c>
      <c r="B28" s="71" t="s">
        <v>111</v>
      </c>
      <c r="C28" s="72">
        <v>2015</v>
      </c>
      <c r="D28" s="2">
        <f>R28+F28</f>
        <v>2.6666666666666665</v>
      </c>
      <c r="G28" s="120"/>
      <c r="I28" s="237"/>
      <c r="J28" s="237"/>
      <c r="K28" s="237"/>
      <c r="L28" s="237"/>
      <c r="M28" s="237"/>
      <c r="N28" s="237"/>
      <c r="O28" s="108">
        <f>AA28</f>
        <v>2.6666666666666665</v>
      </c>
      <c r="P28" s="120"/>
      <c r="Q28" s="96">
        <f>I28+J28+K28+L28+M28+N28+O28</f>
        <v>2.6666666666666665</v>
      </c>
      <c r="R28" s="97">
        <f>IF(C28=2017, Q28/3,Q28)+P28</f>
        <v>2.6666666666666665</v>
      </c>
      <c r="S28" s="101"/>
      <c r="T28" s="237"/>
      <c r="U28" s="237"/>
      <c r="V28" s="237"/>
      <c r="W28" s="237"/>
      <c r="X28" s="237">
        <f>AL28</f>
        <v>2.6666666666666665</v>
      </c>
      <c r="Y28" s="120"/>
      <c r="Z28" s="96">
        <f>SUM(T28:X28)</f>
        <v>2.6666666666666665</v>
      </c>
      <c r="AA28" s="97">
        <f>IF(C28=2016, Z28/3,Z28)+Y28</f>
        <v>2.6666666666666665</v>
      </c>
      <c r="AB28" s="101"/>
      <c r="AC28" s="41"/>
      <c r="AD28" s="41"/>
      <c r="AE28" s="41">
        <f>3+1</f>
        <v>4</v>
      </c>
      <c r="AF28" s="41">
        <f>0+4</f>
        <v>4</v>
      </c>
      <c r="AG28" s="41"/>
      <c r="AH28" s="41"/>
      <c r="AJ28" s="95"/>
      <c r="AK28" s="96">
        <f>SUM(AC28:AI28)</f>
        <v>8</v>
      </c>
      <c r="AL28" s="97">
        <f>IF(C28=2015, AK28/3,AK28)+AJ28</f>
        <v>2.6666666666666665</v>
      </c>
    </row>
    <row r="29" spans="1:57" x14ac:dyDescent="0.25">
      <c r="A29" s="71" t="s">
        <v>299</v>
      </c>
      <c r="B29" s="71" t="s">
        <v>232</v>
      </c>
      <c r="C29" s="72">
        <v>2015</v>
      </c>
      <c r="D29" s="2">
        <f>R29+F29</f>
        <v>0</v>
      </c>
      <c r="G29" s="120"/>
      <c r="O29" s="108">
        <f>AA29</f>
        <v>0</v>
      </c>
      <c r="P29" s="122"/>
      <c r="Q29" s="96">
        <f>I29+J29+K29+L29+M29+N29+O29</f>
        <v>0</v>
      </c>
      <c r="R29" s="97">
        <f>IF(C29=2017, Q29/3,Q29)+P29</f>
        <v>0</v>
      </c>
      <c r="S29" s="101"/>
      <c r="X29" s="108">
        <f>AL29</f>
        <v>0</v>
      </c>
      <c r="Y29" s="122"/>
      <c r="Z29" s="96">
        <f>SUM(T29:X29)</f>
        <v>0</v>
      </c>
      <c r="AA29" s="97">
        <f>IF(C29=2016, Z29/3,Z29)+Y29</f>
        <v>0</v>
      </c>
      <c r="AB29" s="101"/>
      <c r="AC29" s="41"/>
      <c r="AD29" s="41"/>
      <c r="AE29" s="41">
        <f>0</f>
        <v>0</v>
      </c>
      <c r="AF29" s="41"/>
      <c r="AG29" s="41"/>
      <c r="AH29" s="41"/>
      <c r="AI29" s="74"/>
      <c r="AJ29" s="95"/>
      <c r="AK29" s="96">
        <f>SUM(AC29:AI29)</f>
        <v>0</v>
      </c>
      <c r="AL29" s="97">
        <f>IF(C29=2015, AK29/3,AK29)+AJ29</f>
        <v>0</v>
      </c>
    </row>
    <row r="30" spans="1:57" s="17" customFormat="1" x14ac:dyDescent="0.25">
      <c r="A30" s="45" t="s">
        <v>77</v>
      </c>
      <c r="B30" s="66" t="s">
        <v>63</v>
      </c>
      <c r="C30" s="46">
        <v>2016</v>
      </c>
      <c r="D30" s="2">
        <f>R30+F30</f>
        <v>3</v>
      </c>
      <c r="E30" s="233"/>
      <c r="F30" s="219"/>
      <c r="G30" s="120"/>
      <c r="H30" s="219"/>
      <c r="I30" s="108"/>
      <c r="J30" s="108"/>
      <c r="K30" s="108"/>
      <c r="L30" s="108"/>
      <c r="M30" s="108"/>
      <c r="N30" s="108"/>
      <c r="O30" s="108">
        <f>AA30</f>
        <v>3</v>
      </c>
      <c r="P30" s="122"/>
      <c r="Q30" s="96">
        <f>I30+J30+K30+L30+M30+N30+O30</f>
        <v>3</v>
      </c>
      <c r="R30" s="97">
        <f>IF(C30=2017, Q30/3,Q30)+P30</f>
        <v>3</v>
      </c>
      <c r="S30" s="101"/>
      <c r="T30" s="108"/>
      <c r="U30" s="108"/>
      <c r="V30" s="108"/>
      <c r="W30" s="108"/>
      <c r="X30" s="108">
        <f>AL30</f>
        <v>9</v>
      </c>
      <c r="Y30" s="122"/>
      <c r="Z30" s="96">
        <f>SUM(T30:X30)</f>
        <v>9</v>
      </c>
      <c r="AA30" s="97">
        <f>IF(C30=2016, Z30/3,Z30)+Y30</f>
        <v>3</v>
      </c>
      <c r="AB30" s="101"/>
      <c r="AC30" s="41"/>
      <c r="AD30" s="41">
        <v>6</v>
      </c>
      <c r="AE30" s="41"/>
      <c r="AF30" s="41">
        <f>3</f>
        <v>3</v>
      </c>
      <c r="AG30" s="41"/>
      <c r="AH30" s="41"/>
      <c r="AI30" s="13"/>
      <c r="AJ30" s="74"/>
      <c r="AK30" s="3">
        <f>SUM(AC30:AJ30)</f>
        <v>9</v>
      </c>
      <c r="AL30" s="3">
        <f>AK30</f>
        <v>9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x14ac:dyDescent="0.25">
      <c r="A31" s="11" t="s">
        <v>108</v>
      </c>
      <c r="B31" s="11" t="s">
        <v>41</v>
      </c>
      <c r="C31" s="3">
        <v>2014</v>
      </c>
      <c r="D31" s="2">
        <f>R31+F31</f>
        <v>0</v>
      </c>
      <c r="G31" s="120"/>
      <c r="J31" s="212"/>
      <c r="O31" s="108">
        <f>AA31</f>
        <v>0</v>
      </c>
      <c r="P31" s="122"/>
      <c r="Q31" s="96">
        <f>I31+J31+K31+L31+M31+N31+O31</f>
        <v>0</v>
      </c>
      <c r="R31" s="97">
        <f>IF(C31=2017, Q31/3,Q31)+P31</f>
        <v>0</v>
      </c>
      <c r="S31" s="236"/>
      <c r="X31" s="108">
        <f>AL31</f>
        <v>0</v>
      </c>
      <c r="Y31" s="122"/>
      <c r="Z31" s="96">
        <f>SUM(T31:X31)</f>
        <v>0</v>
      </c>
      <c r="AA31" s="97">
        <f>IF(C31=2016, Z31/3,Z31)+Y31</f>
        <v>0</v>
      </c>
      <c r="AB31" s="236"/>
      <c r="AC31" s="41">
        <f>0</f>
        <v>0</v>
      </c>
      <c r="AD31" s="41">
        <f>0</f>
        <v>0</v>
      </c>
      <c r="AE31" s="41"/>
      <c r="AF31" s="41">
        <f>0</f>
        <v>0</v>
      </c>
      <c r="AG31" s="41"/>
      <c r="AH31" s="41"/>
      <c r="AI31" s="41">
        <f>0</f>
        <v>0</v>
      </c>
      <c r="AJ31" s="157"/>
      <c r="AK31" s="96">
        <f>SUM(AC31:AI31)</f>
        <v>0</v>
      </c>
      <c r="AL31" s="97">
        <f>IF(C31=2015, AK31/3,AK31)+AJ31</f>
        <v>0</v>
      </c>
    </row>
    <row r="32" spans="1:57" x14ac:dyDescent="0.25">
      <c r="A32" s="45" t="s">
        <v>82</v>
      </c>
      <c r="B32" s="66" t="s">
        <v>36</v>
      </c>
      <c r="C32" s="46">
        <v>2015</v>
      </c>
      <c r="D32" s="2">
        <f>R32+F32</f>
        <v>30.666666666666668</v>
      </c>
      <c r="G32" s="237"/>
      <c r="O32" s="108">
        <f>AA32</f>
        <v>30.666666666666668</v>
      </c>
      <c r="P32" s="122"/>
      <c r="Q32" s="96">
        <f>I32+J32+K32+L32+M32+N32+O32</f>
        <v>30.666666666666668</v>
      </c>
      <c r="R32" s="97">
        <f>IF(C32=2017, Q32/3,Q32)+P32</f>
        <v>30.666666666666668</v>
      </c>
      <c r="S32" s="101"/>
      <c r="U32" s="108">
        <f>0</f>
        <v>0</v>
      </c>
      <c r="V32" s="108">
        <f>12</f>
        <v>12</v>
      </c>
      <c r="W32" s="108">
        <f>12</f>
        <v>12</v>
      </c>
      <c r="X32" s="108">
        <f>AL32</f>
        <v>6.666666666666667</v>
      </c>
      <c r="Y32" s="122"/>
      <c r="Z32" s="96">
        <f>SUM(T32:X32)</f>
        <v>30.666666666666668</v>
      </c>
      <c r="AA32" s="97">
        <f>IF(C32=2016, Z32/3,Z32)+Y32</f>
        <v>30.666666666666668</v>
      </c>
      <c r="AB32" s="101"/>
      <c r="AC32" s="41">
        <f>0</f>
        <v>0</v>
      </c>
      <c r="AD32" s="41"/>
      <c r="AE32" s="41"/>
      <c r="AF32" s="41">
        <f>6</f>
        <v>6</v>
      </c>
      <c r="AG32" s="41">
        <f>14</f>
        <v>14</v>
      </c>
      <c r="AH32" s="41">
        <f>0</f>
        <v>0</v>
      </c>
      <c r="AI32" s="74"/>
      <c r="AJ32" s="95">
        <v>0</v>
      </c>
      <c r="AK32" s="96">
        <f>SUM(AC32:AI32)</f>
        <v>20</v>
      </c>
      <c r="AL32" s="97">
        <f>IF(C32=2015, AK32/3,AK32)+AJ32</f>
        <v>6.666666666666667</v>
      </c>
    </row>
    <row r="33" spans="1:57" x14ac:dyDescent="0.25">
      <c r="A33" s="11" t="s">
        <v>779</v>
      </c>
      <c r="B33" s="11" t="s">
        <v>63</v>
      </c>
      <c r="C33" s="3">
        <v>2013</v>
      </c>
      <c r="D33" s="2">
        <f>R33+F33</f>
        <v>1</v>
      </c>
      <c r="G33" s="154"/>
      <c r="I33" s="108">
        <f>0</f>
        <v>0</v>
      </c>
      <c r="J33" s="74"/>
      <c r="K33" s="108">
        <f>0</f>
        <v>0</v>
      </c>
      <c r="L33" s="108">
        <f>0</f>
        <v>0</v>
      </c>
      <c r="M33" s="108">
        <f>0+1</f>
        <v>1</v>
      </c>
      <c r="N33" s="108">
        <f>0</f>
        <v>0</v>
      </c>
      <c r="O33" s="108">
        <f>AA33</f>
        <v>0</v>
      </c>
      <c r="P33" s="122"/>
      <c r="Q33" s="96">
        <f>I33+J33+K33+L33+M33+N33+O33</f>
        <v>1</v>
      </c>
      <c r="R33" s="97">
        <f>IF(C33=2017, Q33/3,Q33)+P33</f>
        <v>1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x14ac:dyDescent="0.25">
      <c r="A34" s="11" t="s">
        <v>686</v>
      </c>
      <c r="B34" s="66" t="s">
        <v>36</v>
      </c>
      <c r="C34" s="46">
        <v>2017</v>
      </c>
      <c r="D34" s="2">
        <f>R34+F34</f>
        <v>1</v>
      </c>
      <c r="G34" s="154"/>
      <c r="J34" s="212"/>
      <c r="O34" s="108">
        <f>AA34</f>
        <v>3</v>
      </c>
      <c r="P34" s="122"/>
      <c r="Q34" s="96">
        <f>I34+J34+K34+L34+M34+N34+O34</f>
        <v>3</v>
      </c>
      <c r="R34" s="97">
        <f>IF(C34=2017, Q34/3,Q34)+P34</f>
        <v>1</v>
      </c>
      <c r="S34" s="101"/>
      <c r="U34" s="108">
        <f>3</f>
        <v>3</v>
      </c>
      <c r="Y34" s="122"/>
      <c r="Z34" s="3">
        <f>SUM(T34:X34)</f>
        <v>3</v>
      </c>
      <c r="AA34" s="3">
        <f>Z34</f>
        <v>3</v>
      </c>
      <c r="AB34" s="101"/>
      <c r="AC34" s="41"/>
      <c r="AD34" s="41"/>
      <c r="AE34" s="41"/>
      <c r="AF34" s="41"/>
      <c r="AG34" s="41"/>
      <c r="AH34" s="41"/>
      <c r="AJ34" s="74"/>
    </row>
    <row r="35" spans="1:57" s="17" customFormat="1" x14ac:dyDescent="0.25">
      <c r="A35" s="11" t="s">
        <v>409</v>
      </c>
      <c r="B35" s="11" t="s">
        <v>41</v>
      </c>
      <c r="C35" s="3">
        <v>2014</v>
      </c>
      <c r="D35" s="2">
        <f>R35+F35</f>
        <v>28</v>
      </c>
      <c r="E35" s="233"/>
      <c r="F35" s="219"/>
      <c r="G35" s="120"/>
      <c r="H35" s="219"/>
      <c r="I35" s="108"/>
      <c r="J35" s="212"/>
      <c r="K35" s="108"/>
      <c r="L35" s="108"/>
      <c r="M35" s="108"/>
      <c r="N35" s="108"/>
      <c r="O35" s="108">
        <f>AA35</f>
        <v>28</v>
      </c>
      <c r="P35" s="122"/>
      <c r="Q35" s="96">
        <f>I35+J35+K35+L35+M35+N35+O35</f>
        <v>28</v>
      </c>
      <c r="R35" s="97">
        <f>IF(C35=2017, Q35/3,Q35)+P35</f>
        <v>28</v>
      </c>
      <c r="S35" s="232"/>
      <c r="T35" s="108"/>
      <c r="U35" s="108"/>
      <c r="V35" s="108"/>
      <c r="W35" s="108">
        <f>18</f>
        <v>18</v>
      </c>
      <c r="X35" s="108">
        <f>AL35</f>
        <v>10</v>
      </c>
      <c r="Y35" s="122"/>
      <c r="Z35" s="96">
        <f>SUM(T35:X35)</f>
        <v>28</v>
      </c>
      <c r="AA35" s="97">
        <f>IF(C35=2016, Z35/3,Z35)+Y35</f>
        <v>28</v>
      </c>
      <c r="AB35" s="232"/>
      <c r="AC35" s="13"/>
      <c r="AD35" s="13"/>
      <c r="AE35" s="13"/>
      <c r="AF35" s="13"/>
      <c r="AG35" s="13">
        <f>10</f>
        <v>10</v>
      </c>
      <c r="AH35" s="13"/>
      <c r="AI35" s="13"/>
      <c r="AJ35" s="157"/>
      <c r="AK35" s="96">
        <f>SUM(AC35:AI35)</f>
        <v>10</v>
      </c>
      <c r="AL35" s="97">
        <f>IF(C35=2015, AK35/3,AK35)+AJ35</f>
        <v>10</v>
      </c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s="17" customFormat="1" x14ac:dyDescent="0.25">
      <c r="A36" s="253" t="s">
        <v>15</v>
      </c>
      <c r="B36" s="254"/>
      <c r="C36" s="255"/>
      <c r="D36" s="2">
        <f t="shared" ref="D9:D36" si="1">R36+F36</f>
        <v>0</v>
      </c>
      <c r="E36" s="233"/>
      <c r="F36" s="219"/>
      <c r="G36" s="120"/>
      <c r="H36" s="219"/>
      <c r="I36" s="108"/>
      <c r="J36" s="108"/>
      <c r="K36" s="108"/>
      <c r="L36" s="108"/>
      <c r="M36" s="108"/>
      <c r="N36" s="108"/>
      <c r="O36" s="108">
        <f t="shared" ref="O36" si="2">AA36</f>
        <v>0</v>
      </c>
      <c r="P36" s="108"/>
      <c r="Q36" s="96">
        <f t="shared" ref="Q36" si="3">I36+J36+K36+L36+M36+N36+O36</f>
        <v>0</v>
      </c>
      <c r="R36" s="97">
        <f t="shared" si="0"/>
        <v>0</v>
      </c>
      <c r="S36" s="141"/>
      <c r="T36" s="108"/>
      <c r="U36" s="108"/>
      <c r="V36" s="108"/>
      <c r="W36" s="108"/>
      <c r="X36" s="108"/>
      <c r="Y36" s="108"/>
      <c r="Z36" s="68"/>
      <c r="AA36" s="68"/>
      <c r="AB36" s="141"/>
      <c r="AC36" s="41"/>
      <c r="AD36" s="41"/>
      <c r="AE36" s="41"/>
      <c r="AF36" s="41"/>
      <c r="AG36" s="41"/>
      <c r="AH36" s="41"/>
      <c r="AI36" s="41"/>
      <c r="AJ36" s="68"/>
      <c r="AK36" s="68"/>
      <c r="AL36" s="68"/>
    </row>
    <row r="37" spans="1:57" s="17" customFormat="1" x14ac:dyDescent="0.25">
      <c r="A37" s="11" t="s">
        <v>1083</v>
      </c>
      <c r="B37" s="11" t="s">
        <v>1006</v>
      </c>
      <c r="C37" s="3">
        <v>2017</v>
      </c>
      <c r="D37" s="2">
        <f t="shared" ref="D37:D57" si="4">R37+F37</f>
        <v>0</v>
      </c>
      <c r="E37" s="233"/>
      <c r="F37" s="219">
        <f>0</f>
        <v>0</v>
      </c>
      <c r="G37" s="120"/>
      <c r="H37" s="219"/>
      <c r="I37" s="108"/>
      <c r="J37" s="108"/>
      <c r="K37" s="108"/>
      <c r="L37" s="108"/>
      <c r="M37" s="108"/>
      <c r="N37" s="108"/>
      <c r="O37" s="108"/>
      <c r="P37" s="108"/>
      <c r="Q37" s="68"/>
      <c r="R37" s="68"/>
      <c r="S37" s="13"/>
      <c r="T37" s="108"/>
      <c r="U37" s="108"/>
      <c r="V37" s="108"/>
      <c r="W37" s="108"/>
      <c r="X37" s="108"/>
      <c r="Y37" s="108"/>
      <c r="Z37" s="3"/>
      <c r="AA37" s="3"/>
      <c r="AB37" s="13"/>
      <c r="AC37" s="13"/>
      <c r="AD37" s="13"/>
      <c r="AE37" s="13"/>
      <c r="AF37" s="13"/>
      <c r="AG37" s="13"/>
      <c r="AH37" s="13"/>
      <c r="AI37" s="13"/>
      <c r="AJ37" s="1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s="17" customFormat="1" x14ac:dyDescent="0.25">
      <c r="A38" s="11" t="s">
        <v>1074</v>
      </c>
      <c r="B38" s="11" t="s">
        <v>948</v>
      </c>
      <c r="C38" s="3">
        <v>2017</v>
      </c>
      <c r="D38" s="2">
        <f t="shared" si="4"/>
        <v>4</v>
      </c>
      <c r="E38" s="233"/>
      <c r="F38" s="219"/>
      <c r="G38" s="154"/>
      <c r="H38" s="219"/>
      <c r="I38" s="108"/>
      <c r="J38" s="212">
        <f>12</f>
        <v>12</v>
      </c>
      <c r="K38" s="108"/>
      <c r="L38" s="108"/>
      <c r="M38" s="108"/>
      <c r="N38" s="108"/>
      <c r="O38" s="108">
        <f t="shared" ref="O38:O43" si="5">AA38</f>
        <v>0</v>
      </c>
      <c r="P38" s="122"/>
      <c r="Q38" s="96">
        <f t="shared" ref="Q38:Q43" si="6">I38+J38+K38+L38+M38+N38+O38</f>
        <v>12</v>
      </c>
      <c r="R38" s="97">
        <f t="shared" ref="R38:R43" si="7">IF(C38=2017, Q38/3,Q38)+P38</f>
        <v>4</v>
      </c>
      <c r="S38" s="101"/>
      <c r="T38" s="108"/>
      <c r="U38" s="108"/>
      <c r="V38" s="108"/>
      <c r="W38" s="108"/>
      <c r="X38" s="108"/>
      <c r="Y38" s="122"/>
      <c r="Z38" s="3"/>
      <c r="AA38" s="3"/>
      <c r="AB38" s="101"/>
      <c r="AC38" s="41"/>
      <c r="AD38" s="41"/>
      <c r="AE38" s="41"/>
      <c r="AF38" s="41"/>
      <c r="AG38" s="41"/>
      <c r="AH38" s="41"/>
      <c r="AI38" s="41"/>
      <c r="AJ38" s="74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s="17" customFormat="1" x14ac:dyDescent="0.25">
      <c r="A39" s="76" t="s">
        <v>1021</v>
      </c>
      <c r="B39" s="71" t="s">
        <v>1022</v>
      </c>
      <c r="C39" s="3">
        <v>2014</v>
      </c>
      <c r="D39" s="2">
        <f t="shared" si="4"/>
        <v>8</v>
      </c>
      <c r="E39" s="233"/>
      <c r="F39" s="219"/>
      <c r="G39" s="120"/>
      <c r="H39" s="219"/>
      <c r="I39" s="108">
        <f>8</f>
        <v>8</v>
      </c>
      <c r="K39" s="108"/>
      <c r="L39" s="108"/>
      <c r="M39" s="108"/>
      <c r="N39" s="108"/>
      <c r="O39" s="108">
        <f t="shared" si="5"/>
        <v>0</v>
      </c>
      <c r="P39" s="122"/>
      <c r="Q39" s="96">
        <f t="shared" si="6"/>
        <v>8</v>
      </c>
      <c r="R39" s="97">
        <f t="shared" si="7"/>
        <v>8</v>
      </c>
      <c r="S39" s="204"/>
      <c r="T39" s="108"/>
      <c r="U39" s="108"/>
      <c r="V39" s="108"/>
      <c r="W39" s="108"/>
      <c r="X39" s="108"/>
      <c r="Y39" s="122"/>
      <c r="Z39" s="96"/>
      <c r="AA39" s="97"/>
      <c r="AB39" s="204"/>
      <c r="AC39" s="41"/>
      <c r="AD39" s="41"/>
      <c r="AE39" s="41"/>
      <c r="AF39" s="41"/>
      <c r="AG39" s="41"/>
      <c r="AH39" s="41"/>
      <c r="AI39" s="41"/>
      <c r="AJ39" s="157"/>
      <c r="AK39" s="96"/>
      <c r="AL39" s="97"/>
    </row>
    <row r="40" spans="1:57" x14ac:dyDescent="0.25">
      <c r="A40" s="76" t="s">
        <v>1027</v>
      </c>
      <c r="B40" s="71" t="s">
        <v>1022</v>
      </c>
      <c r="C40" s="3">
        <v>2013</v>
      </c>
      <c r="D40" s="2">
        <f t="shared" si="4"/>
        <v>2</v>
      </c>
      <c r="F40" s="233"/>
      <c r="G40" s="154"/>
      <c r="H40" s="233"/>
      <c r="I40" s="108">
        <f>2</f>
        <v>2</v>
      </c>
      <c r="J40" s="13"/>
      <c r="O40" s="108">
        <f t="shared" si="5"/>
        <v>0</v>
      </c>
      <c r="P40" s="122"/>
      <c r="Q40" s="96">
        <f t="shared" si="6"/>
        <v>2</v>
      </c>
      <c r="R40" s="97">
        <f t="shared" si="7"/>
        <v>2</v>
      </c>
      <c r="S40" s="204"/>
      <c r="Y40" s="122"/>
      <c r="Z40" s="96"/>
      <c r="AA40" s="97"/>
      <c r="AB40" s="204"/>
      <c r="AC40" s="41"/>
      <c r="AD40" s="41"/>
      <c r="AE40" s="41"/>
      <c r="AF40" s="41"/>
      <c r="AG40" s="41"/>
      <c r="AH40" s="41"/>
      <c r="AI40" s="41"/>
      <c r="AJ40" s="157"/>
      <c r="AK40" s="96"/>
      <c r="AL40" s="9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</row>
    <row r="41" spans="1:57" x14ac:dyDescent="0.25">
      <c r="A41" s="76" t="s">
        <v>1026</v>
      </c>
      <c r="B41" s="71" t="s">
        <v>1022</v>
      </c>
      <c r="C41" s="3">
        <v>2014</v>
      </c>
      <c r="D41" s="2">
        <f t="shared" si="4"/>
        <v>4</v>
      </c>
      <c r="E41" s="108"/>
      <c r="F41" s="108"/>
      <c r="G41" s="122"/>
      <c r="H41" s="108"/>
      <c r="I41" s="108">
        <f>4</f>
        <v>4</v>
      </c>
      <c r="J41" s="13"/>
      <c r="O41" s="108">
        <f t="shared" si="5"/>
        <v>0</v>
      </c>
      <c r="P41" s="122"/>
      <c r="Q41" s="96">
        <f t="shared" si="6"/>
        <v>4</v>
      </c>
      <c r="R41" s="97">
        <f t="shared" si="7"/>
        <v>4</v>
      </c>
      <c r="S41" s="232"/>
      <c r="Y41" s="122"/>
      <c r="Z41" s="96"/>
      <c r="AA41" s="97"/>
      <c r="AB41" s="232"/>
      <c r="AC41" s="41"/>
      <c r="AD41" s="41"/>
      <c r="AE41" s="41"/>
      <c r="AF41" s="41"/>
      <c r="AG41" s="41"/>
      <c r="AH41" s="41"/>
      <c r="AI41" s="41"/>
      <c r="AJ41" s="157"/>
      <c r="AK41" s="96"/>
      <c r="AL41" s="9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</row>
    <row r="42" spans="1:57" x14ac:dyDescent="0.25">
      <c r="A42" s="11" t="s">
        <v>945</v>
      </c>
      <c r="B42" s="11" t="s">
        <v>63</v>
      </c>
      <c r="C42" s="3">
        <v>2017</v>
      </c>
      <c r="D42" s="2">
        <f t="shared" si="4"/>
        <v>1.6666666666666667</v>
      </c>
      <c r="G42" s="120"/>
      <c r="I42" s="108">
        <f>2</f>
        <v>2</v>
      </c>
      <c r="J42" s="212">
        <f>3</f>
        <v>3</v>
      </c>
      <c r="K42" s="101"/>
      <c r="L42" s="101"/>
      <c r="M42" s="101"/>
      <c r="N42" s="101"/>
      <c r="O42" s="108">
        <f t="shared" si="5"/>
        <v>0</v>
      </c>
      <c r="P42" s="101"/>
      <c r="Q42" s="96">
        <f t="shared" si="6"/>
        <v>5</v>
      </c>
      <c r="R42" s="97">
        <f t="shared" si="7"/>
        <v>1.6666666666666667</v>
      </c>
      <c r="S42" s="101"/>
      <c r="T42" s="101"/>
      <c r="U42" s="101"/>
      <c r="V42" s="101"/>
      <c r="W42" s="101"/>
      <c r="X42" s="101"/>
      <c r="Y42" s="101"/>
      <c r="AB42" s="101"/>
      <c r="AC42" s="41"/>
      <c r="AD42" s="41"/>
      <c r="AE42" s="41"/>
      <c r="AF42" s="41"/>
      <c r="AG42" s="41"/>
      <c r="AH42" s="41"/>
      <c r="AJ42" s="74"/>
    </row>
    <row r="43" spans="1:57" x14ac:dyDescent="0.25">
      <c r="A43" s="76" t="s">
        <v>1023</v>
      </c>
      <c r="B43" s="71" t="s">
        <v>1022</v>
      </c>
      <c r="C43" s="3">
        <v>2014</v>
      </c>
      <c r="D43" s="2">
        <f t="shared" si="4"/>
        <v>7</v>
      </c>
      <c r="G43" s="120"/>
      <c r="I43" s="108">
        <f>7</f>
        <v>7</v>
      </c>
      <c r="J43" s="17"/>
      <c r="O43" s="108">
        <f t="shared" si="5"/>
        <v>0</v>
      </c>
      <c r="P43" s="122"/>
      <c r="Q43" s="96">
        <f t="shared" si="6"/>
        <v>7</v>
      </c>
      <c r="R43" s="97">
        <f t="shared" si="7"/>
        <v>7</v>
      </c>
      <c r="S43" s="232"/>
      <c r="Y43" s="122"/>
      <c r="Z43" s="96"/>
      <c r="AA43" s="97"/>
      <c r="AB43" s="232"/>
      <c r="AC43" s="41"/>
      <c r="AD43" s="41"/>
      <c r="AE43" s="41"/>
      <c r="AF43" s="41"/>
      <c r="AG43" s="41"/>
      <c r="AH43" s="41"/>
      <c r="AI43" s="41"/>
      <c r="AJ43" s="157"/>
      <c r="AK43" s="96"/>
      <c r="AL43" s="9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</row>
    <row r="44" spans="1:57" x14ac:dyDescent="0.25">
      <c r="A44" s="11" t="s">
        <v>1149</v>
      </c>
      <c r="B44" s="11" t="s">
        <v>1022</v>
      </c>
      <c r="C44" s="3">
        <v>2015</v>
      </c>
      <c r="D44" s="2">
        <f t="shared" si="4"/>
        <v>0</v>
      </c>
      <c r="E44" s="233">
        <f>0</f>
        <v>0</v>
      </c>
      <c r="F44" s="233"/>
      <c r="G44" s="154"/>
      <c r="H44" s="233"/>
      <c r="P44" s="122"/>
      <c r="Q44" s="96"/>
      <c r="R44" s="97"/>
      <c r="S44" s="101"/>
      <c r="Y44" s="122"/>
      <c r="Z44" s="96"/>
      <c r="AA44" s="97"/>
      <c r="AB44" s="101"/>
      <c r="AC44" s="41"/>
      <c r="AD44" s="41"/>
      <c r="AE44" s="41"/>
      <c r="AF44" s="41"/>
      <c r="AG44" s="41"/>
      <c r="AH44" s="41"/>
      <c r="AI44" s="41"/>
      <c r="AJ44" s="74"/>
    </row>
    <row r="45" spans="1:57" x14ac:dyDescent="0.25">
      <c r="A45" s="11" t="s">
        <v>1082</v>
      </c>
      <c r="B45" s="11" t="s">
        <v>1006</v>
      </c>
      <c r="C45" s="3">
        <v>2016</v>
      </c>
      <c r="D45" s="2">
        <f t="shared" si="4"/>
        <v>3</v>
      </c>
      <c r="F45" s="233">
        <f>3</f>
        <v>3</v>
      </c>
      <c r="G45" s="120"/>
      <c r="H45" s="233"/>
      <c r="Q45" s="68"/>
      <c r="R45" s="68"/>
    </row>
    <row r="46" spans="1:57" x14ac:dyDescent="0.25">
      <c r="A46" s="11" t="s">
        <v>936</v>
      </c>
      <c r="B46" s="11" t="s">
        <v>63</v>
      </c>
      <c r="C46" s="3">
        <v>2013</v>
      </c>
      <c r="D46" s="2">
        <f t="shared" si="4"/>
        <v>34</v>
      </c>
      <c r="F46" s="233"/>
      <c r="G46" s="154"/>
      <c r="H46" s="233"/>
      <c r="J46" s="212">
        <f>27</f>
        <v>27</v>
      </c>
      <c r="K46" s="108">
        <f>5</f>
        <v>5</v>
      </c>
      <c r="O46" s="108">
        <f>AA46</f>
        <v>0</v>
      </c>
      <c r="P46" s="122">
        <f>2</f>
        <v>2</v>
      </c>
      <c r="Q46" s="96">
        <f>I46+J46+K46+L46+M46+N46+O46</f>
        <v>32</v>
      </c>
      <c r="R46" s="97">
        <f>IF(C46=2017, Q46/3,Q46)+P46</f>
        <v>34</v>
      </c>
      <c r="S46" s="101"/>
      <c r="Y46" s="122"/>
      <c r="Z46" s="96"/>
      <c r="AA46" s="97"/>
      <c r="AB46" s="101"/>
      <c r="AC46" s="41"/>
      <c r="AD46" s="41"/>
      <c r="AE46" s="41"/>
      <c r="AF46" s="41"/>
      <c r="AG46" s="41"/>
      <c r="AH46" s="41"/>
      <c r="AI46" s="41"/>
      <c r="AJ46" s="74"/>
    </row>
    <row r="47" spans="1:57" x14ac:dyDescent="0.25">
      <c r="A47" s="11" t="s">
        <v>1028</v>
      </c>
      <c r="B47" s="11" t="s">
        <v>1022</v>
      </c>
      <c r="C47" s="3">
        <v>2013</v>
      </c>
      <c r="D47" s="2">
        <f t="shared" si="4"/>
        <v>2</v>
      </c>
      <c r="E47" s="156"/>
      <c r="F47" s="156"/>
      <c r="G47" s="122"/>
      <c r="H47" s="156"/>
      <c r="I47" s="108">
        <f>2</f>
        <v>2</v>
      </c>
      <c r="J47" s="3"/>
      <c r="O47" s="108">
        <f>AA47</f>
        <v>0</v>
      </c>
      <c r="P47" s="122"/>
      <c r="Q47" s="96">
        <f>I47+J47+K47+L47+M47+N47+O47</f>
        <v>2</v>
      </c>
      <c r="R47" s="97">
        <f>IF(C47=2017, Q47/3,Q47)+P47</f>
        <v>2</v>
      </c>
      <c r="S47" s="101"/>
      <c r="Y47" s="122"/>
      <c r="Z47" s="96"/>
      <c r="AA47" s="97"/>
      <c r="AB47" s="101"/>
      <c r="AC47" s="41"/>
      <c r="AD47" s="41"/>
      <c r="AE47" s="41"/>
      <c r="AF47" s="41"/>
      <c r="AG47" s="41"/>
      <c r="AH47" s="41"/>
      <c r="AI47" s="41"/>
      <c r="AJ47" s="74"/>
    </row>
    <row r="48" spans="1:57" x14ac:dyDescent="0.25">
      <c r="A48" s="11" t="s">
        <v>1029</v>
      </c>
      <c r="B48" s="11" t="s">
        <v>1022</v>
      </c>
      <c r="C48" s="3">
        <v>2014</v>
      </c>
      <c r="D48" s="2">
        <f t="shared" si="4"/>
        <v>0</v>
      </c>
      <c r="E48" s="156"/>
      <c r="F48" s="156"/>
      <c r="G48" s="122"/>
      <c r="H48" s="156"/>
      <c r="I48" s="108">
        <f>0</f>
        <v>0</v>
      </c>
      <c r="J48" s="74"/>
      <c r="O48" s="108">
        <f>AA48</f>
        <v>0</v>
      </c>
      <c r="P48" s="122"/>
      <c r="Q48" s="96">
        <f>I48+J48+K48+L48+M48+N48+O48</f>
        <v>0</v>
      </c>
      <c r="R48" s="97">
        <f>IF(C48=2017, Q48/3,Q48)+P48</f>
        <v>0</v>
      </c>
      <c r="S48" s="101"/>
      <c r="Y48" s="122"/>
      <c r="Z48" s="96"/>
      <c r="AA48" s="97"/>
      <c r="AB48" s="101"/>
      <c r="AC48" s="41"/>
      <c r="AD48" s="41"/>
      <c r="AE48" s="41"/>
      <c r="AF48" s="41"/>
      <c r="AG48" s="41"/>
      <c r="AH48" s="41"/>
      <c r="AI48" s="41"/>
      <c r="AJ48" s="74"/>
    </row>
    <row r="49" spans="1:36" x14ac:dyDescent="0.25">
      <c r="A49" s="11" t="s">
        <v>1024</v>
      </c>
      <c r="B49" s="11" t="s">
        <v>63</v>
      </c>
      <c r="C49" s="3">
        <v>2013</v>
      </c>
      <c r="D49" s="2">
        <f t="shared" si="4"/>
        <v>6</v>
      </c>
      <c r="G49" s="120"/>
      <c r="I49" s="108">
        <f>6</f>
        <v>6</v>
      </c>
      <c r="J49" s="74"/>
      <c r="O49" s="108">
        <f>AA49</f>
        <v>0</v>
      </c>
      <c r="P49" s="122"/>
      <c r="Q49" s="96">
        <f>I49+J49+K49+L49+M49+N49+O49</f>
        <v>6</v>
      </c>
      <c r="R49" s="97">
        <f>IF(C49=2017, Q49/3,Q49)+P49</f>
        <v>6</v>
      </c>
      <c r="S49" s="101"/>
      <c r="Y49" s="122"/>
      <c r="Z49" s="96"/>
      <c r="AA49" s="97"/>
      <c r="AB49" s="101"/>
      <c r="AC49" s="41"/>
      <c r="AD49" s="41"/>
      <c r="AE49" s="41"/>
      <c r="AF49" s="41"/>
      <c r="AG49" s="41"/>
      <c r="AH49" s="41"/>
      <c r="AI49" s="41"/>
      <c r="AJ49" s="3"/>
    </row>
    <row r="50" spans="1:36" x14ac:dyDescent="0.25">
      <c r="A50" s="11" t="s">
        <v>1081</v>
      </c>
      <c r="B50" s="11" t="s">
        <v>1006</v>
      </c>
      <c r="C50" s="3">
        <v>2016</v>
      </c>
      <c r="D50" s="2">
        <f t="shared" si="4"/>
        <v>6</v>
      </c>
      <c r="E50" s="108"/>
      <c r="F50" s="108">
        <f>6</f>
        <v>6</v>
      </c>
      <c r="G50" s="122"/>
      <c r="H50" s="108"/>
      <c r="Q50" s="68"/>
      <c r="R50" s="68"/>
      <c r="AJ50" s="17"/>
    </row>
    <row r="51" spans="1:36" x14ac:dyDescent="0.25">
      <c r="A51" s="11" t="s">
        <v>1025</v>
      </c>
      <c r="B51" s="11" t="s">
        <v>1022</v>
      </c>
      <c r="C51" s="3">
        <v>2015</v>
      </c>
      <c r="D51" s="2">
        <f t="shared" si="4"/>
        <v>5</v>
      </c>
      <c r="E51" s="233">
        <f>0</f>
        <v>0</v>
      </c>
      <c r="F51" s="233"/>
      <c r="G51" s="154"/>
      <c r="H51" s="233"/>
      <c r="I51" s="108">
        <f>5</f>
        <v>5</v>
      </c>
      <c r="J51" s="74"/>
      <c r="O51" s="108">
        <f>AA51</f>
        <v>0</v>
      </c>
      <c r="P51" s="122"/>
      <c r="Q51" s="96">
        <f>I51+J51+K51+L51+M51+N51+O51</f>
        <v>5</v>
      </c>
      <c r="R51" s="97">
        <f>IF(C51=2017, Q51/3,Q51)+P51</f>
        <v>5</v>
      </c>
      <c r="S51" s="101"/>
      <c r="Y51" s="122"/>
      <c r="Z51" s="96"/>
      <c r="AA51" s="97"/>
      <c r="AB51" s="101"/>
      <c r="AC51" s="41"/>
      <c r="AD51" s="41"/>
      <c r="AE51" s="41"/>
      <c r="AF51" s="41"/>
      <c r="AG51" s="41"/>
      <c r="AH51" s="41"/>
      <c r="AI51" s="41"/>
      <c r="AJ51" s="3"/>
    </row>
    <row r="52" spans="1:36" x14ac:dyDescent="0.25">
      <c r="A52" s="11" t="s">
        <v>1080</v>
      </c>
      <c r="B52" s="11" t="s">
        <v>1006</v>
      </c>
      <c r="C52" s="3">
        <v>2016</v>
      </c>
      <c r="D52" s="2">
        <f t="shared" si="4"/>
        <v>9</v>
      </c>
      <c r="F52" s="219">
        <f>9</f>
        <v>9</v>
      </c>
      <c r="G52" s="154"/>
      <c r="Q52" s="68"/>
      <c r="R52" s="68"/>
    </row>
    <row r="53" spans="1:36" x14ac:dyDescent="0.25">
      <c r="A53" s="11" t="s">
        <v>1131</v>
      </c>
      <c r="B53" s="11" t="s">
        <v>6</v>
      </c>
      <c r="C53" s="3">
        <v>2016</v>
      </c>
      <c r="D53" s="2">
        <f t="shared" si="4"/>
        <v>0</v>
      </c>
      <c r="E53" s="233">
        <f>1+7</f>
        <v>8</v>
      </c>
      <c r="F53" s="233"/>
      <c r="G53" s="154"/>
      <c r="H53" s="233"/>
      <c r="Q53" s="68"/>
      <c r="R53" s="68"/>
    </row>
    <row r="54" spans="1:36" x14ac:dyDescent="0.25">
      <c r="A54" s="11" t="s">
        <v>975</v>
      </c>
      <c r="B54" s="11" t="s">
        <v>948</v>
      </c>
      <c r="C54" s="3">
        <v>2016</v>
      </c>
      <c r="D54" s="2">
        <f t="shared" si="4"/>
        <v>3</v>
      </c>
      <c r="F54" s="233"/>
      <c r="G54" s="154"/>
      <c r="H54" s="233"/>
      <c r="I54" s="108">
        <f>3</f>
        <v>3</v>
      </c>
      <c r="J54" s="74"/>
      <c r="O54" s="108">
        <f>AA54</f>
        <v>0</v>
      </c>
      <c r="Q54" s="96">
        <f>I54+J54+K54+L54+M54+N54+O54</f>
        <v>3</v>
      </c>
      <c r="R54" s="97">
        <f>IF(C54=2017, Q54/3,Q54)+P54</f>
        <v>3</v>
      </c>
    </row>
    <row r="55" spans="1:36" x14ac:dyDescent="0.25">
      <c r="A55" s="11" t="s">
        <v>1130</v>
      </c>
      <c r="B55" s="11" t="s">
        <v>1022</v>
      </c>
      <c r="C55" s="3">
        <v>2014</v>
      </c>
      <c r="D55" s="2">
        <f t="shared" si="4"/>
        <v>0</v>
      </c>
      <c r="E55" s="233">
        <f>2</f>
        <v>2</v>
      </c>
      <c r="F55" s="233"/>
      <c r="G55" s="154"/>
      <c r="H55" s="233"/>
      <c r="J55" s="74"/>
      <c r="Q55" s="96"/>
      <c r="R55" s="97"/>
    </row>
    <row r="56" spans="1:36" x14ac:dyDescent="0.25">
      <c r="A56" s="11" t="s">
        <v>950</v>
      </c>
      <c r="B56" s="11" t="s">
        <v>948</v>
      </c>
      <c r="C56" s="3">
        <v>2017</v>
      </c>
      <c r="D56" s="2">
        <f t="shared" si="4"/>
        <v>1</v>
      </c>
      <c r="E56" s="156"/>
      <c r="F56" s="156"/>
      <c r="G56" s="122"/>
      <c r="H56" s="156"/>
      <c r="J56" s="108">
        <f>3</f>
        <v>3</v>
      </c>
      <c r="K56" s="101"/>
      <c r="L56" s="101"/>
      <c r="M56" s="101"/>
      <c r="N56" s="101"/>
      <c r="O56" s="108">
        <f>AA56</f>
        <v>0</v>
      </c>
      <c r="P56" s="101"/>
      <c r="Q56" s="96">
        <f>I56+J56+K56+L56+M56+N56+O56</f>
        <v>3</v>
      </c>
      <c r="R56" s="97">
        <f>IF(C56=2017, Q56/3,Q56)+P56</f>
        <v>1</v>
      </c>
      <c r="S56" s="101"/>
      <c r="T56" s="101"/>
      <c r="U56" s="101"/>
      <c r="V56" s="101"/>
      <c r="W56" s="101"/>
      <c r="X56" s="101"/>
      <c r="Y56" s="101"/>
      <c r="AB56" s="101"/>
      <c r="AC56" s="41"/>
      <c r="AD56" s="41"/>
      <c r="AE56" s="41"/>
      <c r="AF56" s="41"/>
      <c r="AG56" s="41"/>
      <c r="AH56" s="41"/>
      <c r="AJ56" s="74"/>
    </row>
    <row r="57" spans="1:36" x14ac:dyDescent="0.25">
      <c r="A57" s="11" t="s">
        <v>949</v>
      </c>
      <c r="B57" s="11" t="s">
        <v>948</v>
      </c>
      <c r="C57" s="3">
        <v>2017</v>
      </c>
      <c r="D57" s="2">
        <f t="shared" si="4"/>
        <v>2</v>
      </c>
      <c r="E57" s="108"/>
      <c r="F57" s="108"/>
      <c r="G57" s="122"/>
      <c r="H57" s="108"/>
      <c r="J57" s="108">
        <f>6</f>
        <v>6</v>
      </c>
      <c r="K57" s="101"/>
      <c r="L57" s="101"/>
      <c r="M57" s="101"/>
      <c r="N57" s="101"/>
      <c r="O57" s="108">
        <f>AA57</f>
        <v>0</v>
      </c>
      <c r="P57" s="101"/>
      <c r="Q57" s="96">
        <f>I57+J57+K57+L57+M57+N57+O57</f>
        <v>6</v>
      </c>
      <c r="R57" s="97">
        <f>IF(C57=2017, Q57/3,Q57)+P57</f>
        <v>2</v>
      </c>
      <c r="S57" s="101"/>
      <c r="T57" s="101"/>
      <c r="U57" s="101"/>
      <c r="V57" s="101"/>
      <c r="W57" s="101"/>
      <c r="X57" s="101"/>
      <c r="Y57" s="101"/>
      <c r="AB57" s="101"/>
      <c r="AC57" s="41"/>
      <c r="AD57" s="41"/>
      <c r="AE57" s="41"/>
      <c r="AF57" s="41"/>
      <c r="AG57" s="41"/>
      <c r="AH57" s="41"/>
      <c r="AJ57" s="74"/>
    </row>
    <row r="58" spans="1:36" x14ac:dyDescent="0.25">
      <c r="D58" s="13"/>
      <c r="G58" s="120"/>
      <c r="Q58" s="68"/>
      <c r="R58" s="68"/>
    </row>
    <row r="59" spans="1:36" x14ac:dyDescent="0.25">
      <c r="D59" s="13"/>
      <c r="G59" s="154"/>
      <c r="Q59" s="68"/>
      <c r="R59" s="68"/>
    </row>
    <row r="60" spans="1:36" x14ac:dyDescent="0.25">
      <c r="D60" s="13"/>
      <c r="G60" s="154"/>
      <c r="Q60" s="68"/>
      <c r="R60" s="68"/>
    </row>
    <row r="61" spans="1:36" x14ac:dyDescent="0.25">
      <c r="D61" s="13"/>
      <c r="G61" s="120"/>
      <c r="Q61" s="68"/>
      <c r="R61" s="68"/>
    </row>
    <row r="62" spans="1:36" x14ac:dyDescent="0.25">
      <c r="D62" s="13"/>
      <c r="G62" s="154"/>
      <c r="Q62" s="68"/>
      <c r="R62" s="68"/>
    </row>
    <row r="63" spans="1:36" x14ac:dyDescent="0.25">
      <c r="D63" s="13"/>
      <c r="G63" s="120"/>
      <c r="Q63" s="68"/>
      <c r="R63" s="68"/>
    </row>
    <row r="64" spans="1:36" x14ac:dyDescent="0.25">
      <c r="D64" s="13"/>
      <c r="E64" s="108"/>
      <c r="F64" s="108"/>
      <c r="G64" s="122"/>
      <c r="H64" s="108"/>
      <c r="Q64" s="68"/>
      <c r="R64" s="68"/>
    </row>
    <row r="65" spans="4:18" x14ac:dyDescent="0.25">
      <c r="D65" s="13"/>
      <c r="E65" s="156"/>
      <c r="F65" s="156"/>
      <c r="G65" s="122"/>
      <c r="H65" s="156"/>
      <c r="Q65" s="68"/>
      <c r="R65" s="68"/>
    </row>
    <row r="66" spans="4:18" x14ac:dyDescent="0.25">
      <c r="D66" s="13"/>
      <c r="G66" s="120"/>
      <c r="Q66" s="68"/>
      <c r="R66" s="68"/>
    </row>
    <row r="67" spans="4:18" x14ac:dyDescent="0.25">
      <c r="D67" s="13"/>
      <c r="G67" s="120"/>
      <c r="Q67" s="68"/>
      <c r="R67" s="68"/>
    </row>
    <row r="68" spans="4:18" x14ac:dyDescent="0.25">
      <c r="D68" s="13"/>
      <c r="E68" s="156"/>
      <c r="F68" s="156"/>
      <c r="G68" s="154"/>
      <c r="H68" s="156"/>
      <c r="Q68" s="68"/>
      <c r="R68" s="68"/>
    </row>
    <row r="69" spans="4:18" x14ac:dyDescent="0.25">
      <c r="D69" s="13"/>
      <c r="E69" s="156"/>
      <c r="F69" s="156"/>
      <c r="G69" s="154"/>
      <c r="H69" s="156"/>
      <c r="Q69" s="68"/>
      <c r="R69" s="68"/>
    </row>
    <row r="70" spans="4:18" x14ac:dyDescent="0.25">
      <c r="D70" s="13"/>
      <c r="G70" s="120"/>
      <c r="Q70" s="68"/>
      <c r="R70" s="68"/>
    </row>
    <row r="71" spans="4:18" x14ac:dyDescent="0.25">
      <c r="D71" s="13"/>
      <c r="G71" s="120"/>
      <c r="Q71" s="68"/>
      <c r="R71" s="68"/>
    </row>
    <row r="72" spans="4:18" x14ac:dyDescent="0.25">
      <c r="D72" s="13"/>
      <c r="E72" s="156"/>
      <c r="F72" s="156"/>
      <c r="G72" s="122"/>
      <c r="H72" s="156"/>
      <c r="Q72" s="68"/>
      <c r="R72" s="68"/>
    </row>
    <row r="73" spans="4:18" x14ac:dyDescent="0.25">
      <c r="D73" s="13"/>
      <c r="G73" s="120"/>
      <c r="Q73" s="68"/>
      <c r="R73" s="68"/>
    </row>
    <row r="74" spans="4:18" x14ac:dyDescent="0.25">
      <c r="D74" s="13"/>
      <c r="G74" s="120"/>
      <c r="Q74" s="68"/>
      <c r="R74" s="68"/>
    </row>
    <row r="75" spans="4:18" x14ac:dyDescent="0.25">
      <c r="D75" s="13"/>
      <c r="E75" s="156"/>
      <c r="F75" s="156"/>
      <c r="G75" s="154"/>
      <c r="H75" s="156"/>
      <c r="Q75" s="68"/>
      <c r="R75" s="68"/>
    </row>
    <row r="76" spans="4:18" x14ac:dyDescent="0.25">
      <c r="D76" s="13"/>
      <c r="G76" s="120"/>
      <c r="Q76" s="68"/>
      <c r="R76" s="68"/>
    </row>
    <row r="77" spans="4:18" x14ac:dyDescent="0.25">
      <c r="D77" s="13"/>
      <c r="E77" s="156"/>
      <c r="F77" s="156"/>
      <c r="G77" s="154"/>
      <c r="H77" s="156"/>
      <c r="Q77" s="68"/>
      <c r="R77" s="68"/>
    </row>
    <row r="78" spans="4:18" x14ac:dyDescent="0.25">
      <c r="D78" s="13"/>
      <c r="E78" s="108"/>
      <c r="F78" s="108"/>
      <c r="G78" s="122"/>
      <c r="H78" s="108"/>
      <c r="Q78" s="68"/>
      <c r="R78" s="68"/>
    </row>
    <row r="79" spans="4:18" x14ac:dyDescent="0.25">
      <c r="D79" s="13"/>
      <c r="G79" s="154"/>
      <c r="Q79" s="68"/>
      <c r="R79" s="68"/>
    </row>
    <row r="80" spans="4:18" x14ac:dyDescent="0.25">
      <c r="D80" s="13"/>
      <c r="E80" s="156"/>
      <c r="F80" s="156"/>
      <c r="G80" s="122"/>
      <c r="H80" s="156"/>
      <c r="Q80" s="68"/>
      <c r="R80" s="68"/>
    </row>
    <row r="81" spans="4:18" x14ac:dyDescent="0.25">
      <c r="D81" s="13"/>
      <c r="G81" s="120"/>
      <c r="Q81" s="68"/>
      <c r="R81" s="68"/>
    </row>
    <row r="82" spans="4:18" x14ac:dyDescent="0.25">
      <c r="D82" s="13"/>
      <c r="G82" s="120"/>
      <c r="Q82" s="68"/>
      <c r="R82" s="68"/>
    </row>
    <row r="83" spans="4:18" x14ac:dyDescent="0.25">
      <c r="D83" s="13"/>
      <c r="E83" s="156"/>
      <c r="F83" s="156"/>
      <c r="G83" s="154"/>
      <c r="H83" s="156"/>
      <c r="Q83" s="68"/>
      <c r="R83" s="68"/>
    </row>
    <row r="84" spans="4:18" x14ac:dyDescent="0.25">
      <c r="D84" s="13"/>
      <c r="E84" s="156"/>
      <c r="F84" s="156"/>
      <c r="G84" s="154"/>
      <c r="H84" s="156"/>
      <c r="Q84" s="68"/>
      <c r="R84" s="68"/>
    </row>
    <row r="85" spans="4:18" x14ac:dyDescent="0.25">
      <c r="D85" s="13"/>
      <c r="E85" s="108"/>
      <c r="F85" s="108"/>
      <c r="G85" s="122"/>
      <c r="H85" s="108"/>
      <c r="Q85" s="68"/>
      <c r="R85" s="68"/>
    </row>
    <row r="86" spans="4:18" x14ac:dyDescent="0.25">
      <c r="D86" s="13"/>
      <c r="E86" s="156"/>
      <c r="F86" s="156"/>
      <c r="G86" s="154"/>
      <c r="H86" s="156"/>
      <c r="Q86" s="68"/>
      <c r="R86" s="68"/>
    </row>
    <row r="87" spans="4:18" x14ac:dyDescent="0.25">
      <c r="D87" s="13"/>
      <c r="E87" s="156"/>
      <c r="F87" s="156"/>
      <c r="G87" s="154"/>
      <c r="H87" s="156"/>
      <c r="Q87" s="68"/>
      <c r="R87" s="68"/>
    </row>
    <row r="88" spans="4:18" x14ac:dyDescent="0.25">
      <c r="D88" s="13"/>
      <c r="G88" s="120"/>
      <c r="Q88" s="68"/>
      <c r="R88" s="68"/>
    </row>
    <row r="89" spans="4:18" x14ac:dyDescent="0.25">
      <c r="D89" s="13"/>
      <c r="G89" s="120"/>
      <c r="Q89" s="68"/>
      <c r="R89" s="68"/>
    </row>
    <row r="90" spans="4:18" x14ac:dyDescent="0.25">
      <c r="D90" s="13"/>
      <c r="G90" s="154"/>
      <c r="Q90" s="68"/>
      <c r="R90" s="68"/>
    </row>
    <row r="91" spans="4:18" x14ac:dyDescent="0.25">
      <c r="D91" s="13"/>
      <c r="G91" s="154"/>
      <c r="Q91" s="68"/>
      <c r="R91" s="68"/>
    </row>
    <row r="92" spans="4:18" x14ac:dyDescent="0.25">
      <c r="D92" s="13"/>
      <c r="G92" s="120"/>
      <c r="Q92" s="68"/>
      <c r="R92" s="68"/>
    </row>
    <row r="93" spans="4:18" x14ac:dyDescent="0.25">
      <c r="D93" s="13"/>
      <c r="E93" s="156"/>
      <c r="F93" s="156"/>
      <c r="G93" s="154"/>
      <c r="H93" s="156"/>
      <c r="Q93" s="68"/>
      <c r="R93" s="68"/>
    </row>
    <row r="94" spans="4:18" x14ac:dyDescent="0.25">
      <c r="D94" s="13"/>
      <c r="G94" s="120"/>
      <c r="Q94" s="68"/>
      <c r="R94" s="68"/>
    </row>
    <row r="95" spans="4:18" x14ac:dyDescent="0.25">
      <c r="D95" s="13"/>
      <c r="G95" s="120"/>
      <c r="Q95" s="68"/>
      <c r="R95" s="68"/>
    </row>
    <row r="96" spans="4:18" x14ac:dyDescent="0.25">
      <c r="D96" s="13"/>
      <c r="G96" s="120"/>
      <c r="Q96" s="68"/>
      <c r="R96" s="68"/>
    </row>
    <row r="97" spans="4:18" x14ac:dyDescent="0.25">
      <c r="D97" s="13"/>
      <c r="G97" s="154"/>
      <c r="Q97" s="68"/>
      <c r="R97" s="68"/>
    </row>
    <row r="98" spans="4:18" x14ac:dyDescent="0.25">
      <c r="D98" s="13"/>
      <c r="G98" s="154"/>
      <c r="Q98" s="68"/>
      <c r="R98" s="68"/>
    </row>
    <row r="99" spans="4:18" x14ac:dyDescent="0.25">
      <c r="D99" s="13"/>
      <c r="G99" s="154"/>
      <c r="Q99" s="68"/>
      <c r="R99" s="68"/>
    </row>
    <row r="100" spans="4:18" x14ac:dyDescent="0.25">
      <c r="D100" s="13"/>
      <c r="E100" s="108"/>
      <c r="F100" s="108"/>
      <c r="G100" s="122"/>
      <c r="H100" s="108"/>
      <c r="Q100" s="68"/>
      <c r="R100" s="68"/>
    </row>
    <row r="101" spans="4:18" x14ac:dyDescent="0.25">
      <c r="D101" s="13"/>
      <c r="E101" s="156"/>
      <c r="F101" s="156"/>
      <c r="G101" s="122"/>
      <c r="H101" s="156"/>
      <c r="Q101" s="68"/>
      <c r="R101" s="68"/>
    </row>
    <row r="102" spans="4:18" x14ac:dyDescent="0.25">
      <c r="D102" s="13"/>
      <c r="G102" s="120"/>
      <c r="Q102" s="68"/>
      <c r="R102" s="68"/>
    </row>
    <row r="103" spans="4:18" x14ac:dyDescent="0.25">
      <c r="D103" s="13"/>
      <c r="G103" s="154"/>
      <c r="Q103" s="68"/>
      <c r="R103" s="68"/>
    </row>
    <row r="104" spans="4:18" x14ac:dyDescent="0.25">
      <c r="D104" s="13"/>
      <c r="G104" s="154"/>
      <c r="Q104" s="68"/>
      <c r="R104" s="68"/>
    </row>
    <row r="105" spans="4:18" x14ac:dyDescent="0.25">
      <c r="D105" s="13"/>
      <c r="G105" s="120"/>
      <c r="Q105" s="68"/>
      <c r="R105" s="68"/>
    </row>
    <row r="106" spans="4:18" x14ac:dyDescent="0.25">
      <c r="D106" s="13"/>
      <c r="E106" s="156"/>
      <c r="F106" s="156"/>
      <c r="G106" s="122"/>
      <c r="H106" s="156"/>
      <c r="Q106" s="68"/>
      <c r="R106" s="68"/>
    </row>
    <row r="107" spans="4:18" x14ac:dyDescent="0.25">
      <c r="D107" s="13"/>
      <c r="E107" s="156"/>
      <c r="F107" s="156"/>
      <c r="G107" s="122"/>
      <c r="H107" s="156"/>
      <c r="Q107" s="68"/>
      <c r="R107" s="68"/>
    </row>
    <row r="108" spans="4:18" x14ac:dyDescent="0.25">
      <c r="D108" s="13"/>
      <c r="G108" s="154"/>
      <c r="Q108" s="68"/>
      <c r="R108" s="68"/>
    </row>
    <row r="109" spans="4:18" x14ac:dyDescent="0.25">
      <c r="D109" s="13"/>
      <c r="G109" s="120"/>
      <c r="Q109" s="68"/>
      <c r="R109" s="68"/>
    </row>
    <row r="110" spans="4:18" x14ac:dyDescent="0.25">
      <c r="D110" s="13"/>
      <c r="G110" s="120"/>
      <c r="Q110" s="68"/>
      <c r="R110" s="68"/>
    </row>
    <row r="111" spans="4:18" x14ac:dyDescent="0.25">
      <c r="D111" s="13"/>
      <c r="G111" s="154"/>
      <c r="Q111" s="68"/>
      <c r="R111" s="68"/>
    </row>
    <row r="112" spans="4:18" x14ac:dyDescent="0.25">
      <c r="D112" s="13"/>
      <c r="G112" s="120"/>
      <c r="Q112" s="68"/>
      <c r="R112" s="68"/>
    </row>
    <row r="113" spans="4:18" x14ac:dyDescent="0.25">
      <c r="D113" s="13"/>
      <c r="E113" s="156"/>
      <c r="F113" s="156"/>
      <c r="G113" s="122"/>
      <c r="H113" s="156"/>
      <c r="Q113" s="68"/>
      <c r="R113" s="68"/>
    </row>
    <row r="114" spans="4:18" x14ac:dyDescent="0.25">
      <c r="D114" s="13"/>
      <c r="E114" s="108"/>
      <c r="F114" s="108"/>
      <c r="G114" s="122"/>
      <c r="H114" s="108"/>
      <c r="Q114" s="68"/>
      <c r="R114" s="68"/>
    </row>
    <row r="115" spans="4:18" x14ac:dyDescent="0.25">
      <c r="D115" s="13"/>
      <c r="G115" s="154"/>
      <c r="Q115" s="68"/>
      <c r="R115" s="68"/>
    </row>
    <row r="116" spans="4:18" x14ac:dyDescent="0.25">
      <c r="D116" s="13"/>
      <c r="G116" s="154"/>
      <c r="Q116" s="68"/>
      <c r="R116" s="68"/>
    </row>
    <row r="117" spans="4:18" x14ac:dyDescent="0.25">
      <c r="D117" s="13"/>
      <c r="E117" s="156"/>
      <c r="F117" s="156"/>
      <c r="G117" s="122"/>
      <c r="H117" s="156"/>
      <c r="Q117" s="68"/>
      <c r="R117" s="68"/>
    </row>
    <row r="118" spans="4:18" x14ac:dyDescent="0.25">
      <c r="D118" s="13"/>
      <c r="G118" s="154"/>
      <c r="Q118" s="68"/>
      <c r="R118" s="68"/>
    </row>
    <row r="119" spans="4:18" x14ac:dyDescent="0.25">
      <c r="D119" s="13"/>
      <c r="G119" s="120"/>
      <c r="Q119" s="68"/>
      <c r="R119" s="68"/>
    </row>
    <row r="120" spans="4:18" x14ac:dyDescent="0.25">
      <c r="D120" s="13"/>
      <c r="G120" s="120"/>
      <c r="Q120" s="68"/>
      <c r="R120" s="68"/>
    </row>
    <row r="121" spans="4:18" x14ac:dyDescent="0.25">
      <c r="D121" s="13"/>
      <c r="G121" s="154"/>
      <c r="Q121" s="68"/>
      <c r="R121" s="68"/>
    </row>
    <row r="122" spans="4:18" x14ac:dyDescent="0.25">
      <c r="D122" s="13"/>
      <c r="G122" s="120"/>
      <c r="Q122" s="68"/>
      <c r="R122" s="68"/>
    </row>
    <row r="123" spans="4:18" x14ac:dyDescent="0.25">
      <c r="D123" s="13"/>
      <c r="G123" s="154"/>
      <c r="Q123" s="68"/>
      <c r="R123" s="68"/>
    </row>
    <row r="124" spans="4:18" x14ac:dyDescent="0.25">
      <c r="D124" s="13"/>
      <c r="G124" s="120"/>
      <c r="Q124" s="68"/>
      <c r="R124" s="68"/>
    </row>
    <row r="125" spans="4:18" x14ac:dyDescent="0.25">
      <c r="D125" s="13"/>
      <c r="G125" s="154"/>
      <c r="Q125" s="68"/>
      <c r="R125" s="68"/>
    </row>
    <row r="126" spans="4:18" x14ac:dyDescent="0.25">
      <c r="D126" s="13"/>
      <c r="G126" s="154"/>
      <c r="Q126" s="68"/>
      <c r="R126" s="68"/>
    </row>
    <row r="127" spans="4:18" x14ac:dyDescent="0.25">
      <c r="D127" s="13"/>
      <c r="E127" s="108"/>
      <c r="F127" s="108"/>
      <c r="G127" s="122"/>
      <c r="H127" s="108"/>
      <c r="Q127" s="68"/>
      <c r="R127" s="68"/>
    </row>
    <row r="128" spans="4:18" x14ac:dyDescent="0.25">
      <c r="D128" s="13"/>
      <c r="G128" s="154"/>
      <c r="Q128" s="68"/>
      <c r="R128" s="68"/>
    </row>
    <row r="129" spans="4:18" x14ac:dyDescent="0.25">
      <c r="D129" s="13"/>
      <c r="G129" s="120"/>
      <c r="Q129" s="68"/>
      <c r="R129" s="68"/>
    </row>
    <row r="130" spans="4:18" x14ac:dyDescent="0.25">
      <c r="D130" s="13"/>
      <c r="G130" s="154"/>
      <c r="Q130" s="68"/>
      <c r="R130" s="68"/>
    </row>
    <row r="131" spans="4:18" x14ac:dyDescent="0.25">
      <c r="D131" s="13"/>
      <c r="G131" s="154"/>
      <c r="Q131" s="68"/>
      <c r="R131" s="68"/>
    </row>
    <row r="132" spans="4:18" x14ac:dyDescent="0.25">
      <c r="D132" s="13"/>
      <c r="G132" s="120"/>
      <c r="Q132" s="68"/>
      <c r="R132" s="68"/>
    </row>
    <row r="133" spans="4:18" x14ac:dyDescent="0.25">
      <c r="D133" s="13"/>
      <c r="G133" s="154"/>
      <c r="Q133" s="68"/>
      <c r="R133" s="68"/>
    </row>
    <row r="134" spans="4:18" x14ac:dyDescent="0.25">
      <c r="D134" s="13"/>
      <c r="G134" s="154"/>
      <c r="Q134" s="68"/>
      <c r="R134" s="68"/>
    </row>
    <row r="135" spans="4:18" x14ac:dyDescent="0.25">
      <c r="D135" s="13"/>
      <c r="G135" s="154"/>
      <c r="Q135" s="68"/>
      <c r="R135" s="68"/>
    </row>
    <row r="136" spans="4:18" x14ac:dyDescent="0.25">
      <c r="D136" s="13"/>
      <c r="G136" s="120"/>
      <c r="Q136" s="68"/>
      <c r="R136" s="68"/>
    </row>
    <row r="137" spans="4:18" x14ac:dyDescent="0.25">
      <c r="D137" s="13"/>
      <c r="G137" s="120"/>
      <c r="Q137" s="68"/>
      <c r="R137" s="68"/>
    </row>
    <row r="138" spans="4:18" x14ac:dyDescent="0.25">
      <c r="D138" s="13"/>
      <c r="G138" s="120"/>
      <c r="Q138" s="68"/>
      <c r="R138" s="68"/>
    </row>
    <row r="139" spans="4:18" x14ac:dyDescent="0.25">
      <c r="D139" s="13"/>
      <c r="G139" s="154"/>
      <c r="Q139" s="68"/>
      <c r="R139" s="68"/>
    </row>
    <row r="140" spans="4:18" x14ac:dyDescent="0.25">
      <c r="D140" s="13"/>
      <c r="G140" s="154"/>
      <c r="Q140" s="68"/>
      <c r="R140" s="68"/>
    </row>
    <row r="141" spans="4:18" x14ac:dyDescent="0.25">
      <c r="D141" s="13"/>
      <c r="G141" s="120"/>
      <c r="Q141" s="68"/>
      <c r="R141" s="68"/>
    </row>
    <row r="142" spans="4:18" x14ac:dyDescent="0.25">
      <c r="D142" s="13"/>
      <c r="G142" s="154"/>
      <c r="Q142" s="68"/>
      <c r="R142" s="68"/>
    </row>
    <row r="143" spans="4:18" x14ac:dyDescent="0.25">
      <c r="D143" s="13"/>
      <c r="G143" s="154"/>
      <c r="Q143" s="68"/>
      <c r="R143" s="68"/>
    </row>
    <row r="144" spans="4:18" x14ac:dyDescent="0.25">
      <c r="D144" s="13"/>
      <c r="G144" s="154"/>
      <c r="Q144" s="68"/>
      <c r="R144" s="68"/>
    </row>
    <row r="145" spans="4:18" x14ac:dyDescent="0.25">
      <c r="D145" s="13"/>
      <c r="G145" s="120"/>
      <c r="Q145" s="68"/>
      <c r="R145" s="68"/>
    </row>
    <row r="146" spans="4:18" x14ac:dyDescent="0.25">
      <c r="D146" s="13"/>
      <c r="G146" s="120"/>
      <c r="Q146" s="68"/>
      <c r="R146" s="68"/>
    </row>
    <row r="147" spans="4:18" x14ac:dyDescent="0.25">
      <c r="D147" s="13"/>
      <c r="G147" s="154"/>
      <c r="Q147" s="68"/>
      <c r="R147" s="68"/>
    </row>
    <row r="148" spans="4:18" x14ac:dyDescent="0.25">
      <c r="D148" s="13"/>
      <c r="G148" s="120"/>
      <c r="Q148" s="68"/>
      <c r="R148" s="68"/>
    </row>
    <row r="149" spans="4:18" x14ac:dyDescent="0.25">
      <c r="D149" s="13"/>
      <c r="G149" s="154"/>
      <c r="Q149" s="68"/>
      <c r="R149" s="68"/>
    </row>
    <row r="150" spans="4:18" x14ac:dyDescent="0.25">
      <c r="D150" s="13"/>
      <c r="G150" s="120"/>
      <c r="Q150" s="68"/>
      <c r="R150" s="68"/>
    </row>
    <row r="151" spans="4:18" x14ac:dyDescent="0.25">
      <c r="D151" s="13"/>
      <c r="E151" s="156"/>
      <c r="F151" s="156"/>
      <c r="G151" s="122"/>
      <c r="H151" s="156"/>
      <c r="Q151" s="68"/>
      <c r="R151" s="68"/>
    </row>
    <row r="152" spans="4:18" x14ac:dyDescent="0.25">
      <c r="D152" s="13"/>
      <c r="G152" s="120"/>
      <c r="Q152" s="68"/>
      <c r="R152" s="68"/>
    </row>
    <row r="153" spans="4:18" x14ac:dyDescent="0.25">
      <c r="D153" s="13"/>
      <c r="G153" s="120"/>
      <c r="Q153" s="68"/>
      <c r="R153" s="68"/>
    </row>
    <row r="154" spans="4:18" x14ac:dyDescent="0.25">
      <c r="D154" s="13"/>
      <c r="G154" s="154"/>
      <c r="Q154" s="68"/>
      <c r="R154" s="68"/>
    </row>
    <row r="155" spans="4:18" x14ac:dyDescent="0.25">
      <c r="D155" s="13"/>
      <c r="E155" s="156"/>
      <c r="F155" s="156"/>
      <c r="G155" s="122"/>
      <c r="H155" s="156"/>
      <c r="Q155" s="68"/>
      <c r="R155" s="68"/>
    </row>
    <row r="156" spans="4:18" x14ac:dyDescent="0.25">
      <c r="D156" s="13"/>
      <c r="G156" s="120"/>
      <c r="Q156" s="68"/>
      <c r="R156" s="68"/>
    </row>
    <row r="157" spans="4:18" x14ac:dyDescent="0.25">
      <c r="D157" s="13"/>
      <c r="G157" s="154"/>
      <c r="Q157" s="68"/>
      <c r="R157" s="68"/>
    </row>
    <row r="158" spans="4:18" x14ac:dyDescent="0.25">
      <c r="D158" s="13"/>
      <c r="G158" s="120"/>
      <c r="Q158" s="68"/>
      <c r="R158" s="68"/>
    </row>
    <row r="159" spans="4:18" x14ac:dyDescent="0.25">
      <c r="D159" s="13"/>
      <c r="G159" s="120"/>
      <c r="Q159" s="68"/>
      <c r="R159" s="68"/>
    </row>
    <row r="160" spans="4:18" x14ac:dyDescent="0.25">
      <c r="D160" s="13"/>
      <c r="G160" s="120"/>
      <c r="Q160" s="68"/>
      <c r="R160" s="68"/>
    </row>
    <row r="161" spans="4:18" x14ac:dyDescent="0.25">
      <c r="D161" s="13"/>
      <c r="G161" s="120"/>
      <c r="Q161" s="68"/>
      <c r="R161" s="68"/>
    </row>
    <row r="162" spans="4:18" x14ac:dyDescent="0.25">
      <c r="D162" s="13"/>
      <c r="G162" s="120"/>
      <c r="Q162" s="68"/>
      <c r="R162" s="68"/>
    </row>
    <row r="163" spans="4:18" x14ac:dyDescent="0.25">
      <c r="D163" s="13"/>
      <c r="E163" s="156"/>
      <c r="F163" s="156"/>
      <c r="G163" s="122"/>
      <c r="H163" s="156"/>
      <c r="Q163" s="68"/>
      <c r="R163" s="68"/>
    </row>
    <row r="164" spans="4:18" x14ac:dyDescent="0.25">
      <c r="D164" s="13"/>
      <c r="G164" s="154"/>
      <c r="Q164" s="68"/>
      <c r="R164" s="68"/>
    </row>
    <row r="165" spans="4:18" x14ac:dyDescent="0.25">
      <c r="D165" s="13"/>
      <c r="G165" s="120"/>
      <c r="Q165" s="68"/>
      <c r="R165" s="68"/>
    </row>
    <row r="166" spans="4:18" x14ac:dyDescent="0.25">
      <c r="D166" s="13"/>
      <c r="G166" s="154"/>
      <c r="Q166" s="68"/>
      <c r="R166" s="68"/>
    </row>
    <row r="167" spans="4:18" x14ac:dyDescent="0.25">
      <c r="D167" s="13"/>
      <c r="G167" s="154"/>
      <c r="Q167" s="68"/>
      <c r="R167" s="68"/>
    </row>
    <row r="168" spans="4:18" x14ac:dyDescent="0.25">
      <c r="D168" s="13"/>
      <c r="G168" s="154"/>
      <c r="Q168" s="68"/>
      <c r="R168" s="68"/>
    </row>
    <row r="169" spans="4:18" x14ac:dyDescent="0.25">
      <c r="D169" s="13"/>
      <c r="G169" s="154"/>
      <c r="Q169" s="68"/>
      <c r="R169" s="68"/>
    </row>
    <row r="170" spans="4:18" x14ac:dyDescent="0.25">
      <c r="D170" s="13"/>
      <c r="G170" s="154"/>
      <c r="Q170" s="68"/>
      <c r="R170" s="68"/>
    </row>
    <row r="171" spans="4:18" x14ac:dyDescent="0.25">
      <c r="D171" s="13"/>
      <c r="G171" s="120"/>
      <c r="Q171" s="68"/>
      <c r="R171" s="68"/>
    </row>
    <row r="172" spans="4:18" x14ac:dyDescent="0.25">
      <c r="D172" s="13"/>
      <c r="G172" s="120"/>
      <c r="Q172" s="68"/>
      <c r="R172" s="68"/>
    </row>
    <row r="173" spans="4:18" x14ac:dyDescent="0.25">
      <c r="D173" s="13"/>
      <c r="G173" s="154"/>
      <c r="Q173" s="68"/>
      <c r="R173" s="68"/>
    </row>
    <row r="174" spans="4:18" x14ac:dyDescent="0.25">
      <c r="D174" s="13"/>
      <c r="E174" s="156"/>
      <c r="F174" s="156"/>
      <c r="G174" s="154"/>
      <c r="H174" s="156"/>
      <c r="Q174" s="68"/>
      <c r="R174" s="68"/>
    </row>
    <row r="175" spans="4:18" x14ac:dyDescent="0.25">
      <c r="D175" s="13"/>
      <c r="G175" s="120"/>
      <c r="Q175" s="68"/>
      <c r="R175" s="68"/>
    </row>
    <row r="176" spans="4:18" x14ac:dyDescent="0.25">
      <c r="D176" s="13"/>
      <c r="G176" s="154"/>
      <c r="Q176" s="68"/>
      <c r="R176" s="68"/>
    </row>
    <row r="177" spans="4:18" x14ac:dyDescent="0.25">
      <c r="D177" s="13"/>
      <c r="G177" s="120"/>
      <c r="Q177" s="68"/>
      <c r="R177" s="68"/>
    </row>
    <row r="178" spans="4:18" x14ac:dyDescent="0.25">
      <c r="D178" s="13"/>
      <c r="G178" s="154"/>
      <c r="Q178" s="68"/>
      <c r="R178" s="68"/>
    </row>
    <row r="179" spans="4:18" x14ac:dyDescent="0.25">
      <c r="D179" s="13"/>
      <c r="G179" s="154"/>
      <c r="Q179" s="68"/>
      <c r="R179" s="68"/>
    </row>
    <row r="180" spans="4:18" x14ac:dyDescent="0.25">
      <c r="D180" s="13"/>
      <c r="G180" s="154"/>
      <c r="Q180" s="68"/>
      <c r="R180" s="68"/>
    </row>
    <row r="181" spans="4:18" x14ac:dyDescent="0.25">
      <c r="D181" s="13"/>
      <c r="G181" s="120"/>
      <c r="Q181" s="68"/>
      <c r="R181" s="68"/>
    </row>
    <row r="182" spans="4:18" x14ac:dyDescent="0.25">
      <c r="D182" s="13"/>
      <c r="G182" s="154"/>
      <c r="Q182" s="68"/>
      <c r="R182" s="68"/>
    </row>
    <row r="183" spans="4:18" x14ac:dyDescent="0.25">
      <c r="D183" s="13"/>
      <c r="G183" s="154"/>
      <c r="Q183" s="68"/>
      <c r="R183" s="68"/>
    </row>
    <row r="184" spans="4:18" x14ac:dyDescent="0.25">
      <c r="D184" s="13"/>
      <c r="E184" s="108"/>
      <c r="F184" s="108"/>
      <c r="G184" s="122"/>
      <c r="H184" s="108"/>
      <c r="Q184" s="68"/>
      <c r="R184" s="68"/>
    </row>
    <row r="185" spans="4:18" x14ac:dyDescent="0.25">
      <c r="D185" s="13"/>
      <c r="G185" s="154"/>
      <c r="Q185" s="68"/>
      <c r="R185" s="68"/>
    </row>
    <row r="186" spans="4:18" x14ac:dyDescent="0.25">
      <c r="D186" s="13"/>
      <c r="G186" s="154"/>
      <c r="Q186" s="68"/>
      <c r="R186" s="68"/>
    </row>
    <row r="187" spans="4:18" x14ac:dyDescent="0.25">
      <c r="D187" s="13"/>
      <c r="E187" s="108"/>
      <c r="F187" s="108"/>
      <c r="G187" s="122"/>
      <c r="H187" s="108"/>
      <c r="Q187" s="68"/>
      <c r="R187" s="68"/>
    </row>
    <row r="188" spans="4:18" x14ac:dyDescent="0.25">
      <c r="D188" s="13"/>
      <c r="G188" s="120"/>
      <c r="Q188" s="68"/>
      <c r="R188" s="68"/>
    </row>
    <row r="189" spans="4:18" x14ac:dyDescent="0.25">
      <c r="D189" s="13"/>
      <c r="G189" s="154"/>
      <c r="Q189" s="68"/>
      <c r="R189" s="68"/>
    </row>
    <row r="190" spans="4:18" x14ac:dyDescent="0.25">
      <c r="D190" s="13"/>
      <c r="G190" s="154"/>
      <c r="Q190" s="68"/>
      <c r="R190" s="68"/>
    </row>
    <row r="191" spans="4:18" x14ac:dyDescent="0.25">
      <c r="D191" s="13"/>
      <c r="G191" s="120"/>
      <c r="Q191" s="68"/>
      <c r="R191" s="68"/>
    </row>
    <row r="192" spans="4:18" x14ac:dyDescent="0.25">
      <c r="D192" s="13"/>
      <c r="G192" s="120"/>
      <c r="Q192" s="68"/>
      <c r="R192" s="68"/>
    </row>
    <row r="193" spans="4:18" x14ac:dyDescent="0.25">
      <c r="D193" s="13"/>
      <c r="E193" s="156"/>
      <c r="F193" s="156"/>
      <c r="G193" s="122"/>
      <c r="H193" s="156"/>
      <c r="Q193" s="68"/>
      <c r="R193" s="68"/>
    </row>
    <row r="194" spans="4:18" x14ac:dyDescent="0.25">
      <c r="D194" s="13"/>
      <c r="G194" s="154"/>
      <c r="Q194" s="68"/>
      <c r="R194" s="68"/>
    </row>
    <row r="195" spans="4:18" x14ac:dyDescent="0.25">
      <c r="D195" s="13"/>
      <c r="G195" s="154"/>
      <c r="Q195" s="68"/>
      <c r="R195" s="68"/>
    </row>
    <row r="196" spans="4:18" x14ac:dyDescent="0.25">
      <c r="D196" s="13"/>
      <c r="G196" s="154"/>
      <c r="Q196" s="68"/>
      <c r="R196" s="68"/>
    </row>
    <row r="197" spans="4:18" x14ac:dyDescent="0.25">
      <c r="D197" s="13"/>
      <c r="G197" s="154"/>
      <c r="Q197" s="68"/>
      <c r="R197" s="68"/>
    </row>
    <row r="198" spans="4:18" x14ac:dyDescent="0.25">
      <c r="D198" s="13"/>
      <c r="G198" s="120"/>
      <c r="Q198" s="68"/>
      <c r="R198" s="68"/>
    </row>
    <row r="199" spans="4:18" x14ac:dyDescent="0.25">
      <c r="D199" s="13"/>
      <c r="G199" s="154"/>
      <c r="Q199" s="68"/>
      <c r="R199" s="68"/>
    </row>
    <row r="200" spans="4:18" x14ac:dyDescent="0.25">
      <c r="D200" s="13"/>
      <c r="G200" s="120"/>
      <c r="Q200" s="68"/>
      <c r="R200" s="68"/>
    </row>
    <row r="201" spans="4:18" x14ac:dyDescent="0.25">
      <c r="D201" s="13"/>
      <c r="E201" s="156"/>
      <c r="F201" s="156"/>
      <c r="G201" s="154"/>
      <c r="H201" s="156"/>
      <c r="Q201" s="68"/>
      <c r="R201" s="68"/>
    </row>
    <row r="202" spans="4:18" x14ac:dyDescent="0.25">
      <c r="D202" s="13"/>
      <c r="G202" s="154"/>
      <c r="Q202" s="68"/>
      <c r="R202" s="68"/>
    </row>
    <row r="203" spans="4:18" x14ac:dyDescent="0.25">
      <c r="D203" s="13"/>
      <c r="G203" s="120"/>
      <c r="Q203" s="68"/>
      <c r="R203" s="68"/>
    </row>
    <row r="204" spans="4:18" x14ac:dyDescent="0.25">
      <c r="D204" s="13"/>
      <c r="G204" s="120"/>
      <c r="Q204" s="68"/>
      <c r="R204" s="68"/>
    </row>
    <row r="205" spans="4:18" x14ac:dyDescent="0.25">
      <c r="D205" s="13"/>
      <c r="E205" s="156"/>
      <c r="F205" s="156"/>
      <c r="G205" s="122"/>
      <c r="H205" s="156"/>
      <c r="Q205" s="68"/>
      <c r="R205" s="68"/>
    </row>
    <row r="206" spans="4:18" x14ac:dyDescent="0.25">
      <c r="D206" s="13"/>
      <c r="G206" s="154"/>
      <c r="Q206" s="68"/>
      <c r="R206" s="68"/>
    </row>
    <row r="207" spans="4:18" x14ac:dyDescent="0.25">
      <c r="D207" s="13"/>
      <c r="G207" s="154"/>
      <c r="Q207" s="68"/>
      <c r="R207" s="68"/>
    </row>
    <row r="208" spans="4:18" x14ac:dyDescent="0.25">
      <c r="D208" s="13"/>
      <c r="G208" s="154"/>
      <c r="Q208" s="68"/>
      <c r="R208" s="68"/>
    </row>
    <row r="209" spans="4:18" x14ac:dyDescent="0.25">
      <c r="D209" s="13"/>
      <c r="G209" s="154"/>
      <c r="Q209" s="68"/>
      <c r="R209" s="68"/>
    </row>
    <row r="210" spans="4:18" x14ac:dyDescent="0.25">
      <c r="D210" s="13"/>
      <c r="G210" s="154"/>
      <c r="Q210" s="68"/>
      <c r="R210" s="68"/>
    </row>
    <row r="211" spans="4:18" x14ac:dyDescent="0.25">
      <c r="D211" s="13"/>
      <c r="G211" s="120"/>
      <c r="Q211" s="68"/>
      <c r="R211" s="68"/>
    </row>
    <row r="212" spans="4:18" x14ac:dyDescent="0.25">
      <c r="D212" s="13"/>
      <c r="E212" s="156"/>
      <c r="F212" s="156"/>
      <c r="G212" s="122"/>
      <c r="H212" s="156"/>
      <c r="Q212" s="68"/>
      <c r="R212" s="68"/>
    </row>
    <row r="213" spans="4:18" x14ac:dyDescent="0.25">
      <c r="D213" s="13"/>
      <c r="G213" s="154"/>
      <c r="Q213" s="68"/>
      <c r="R213" s="68"/>
    </row>
    <row r="214" spans="4:18" x14ac:dyDescent="0.25">
      <c r="D214" s="13"/>
      <c r="G214" s="154"/>
      <c r="Q214" s="68"/>
      <c r="R214" s="68"/>
    </row>
    <row r="215" spans="4:18" x14ac:dyDescent="0.25">
      <c r="D215" s="13"/>
      <c r="E215" s="156"/>
      <c r="F215" s="156"/>
      <c r="G215" s="122"/>
      <c r="H215" s="156"/>
      <c r="Q215" s="68"/>
      <c r="R215" s="68"/>
    </row>
    <row r="216" spans="4:18" x14ac:dyDescent="0.25">
      <c r="D216" s="13"/>
      <c r="G216" s="154"/>
      <c r="Q216" s="68"/>
      <c r="R216" s="68"/>
    </row>
    <row r="217" spans="4:18" x14ac:dyDescent="0.25">
      <c r="D217" s="13"/>
      <c r="E217" s="108"/>
      <c r="F217" s="108"/>
      <c r="G217" s="122"/>
      <c r="H217" s="108"/>
      <c r="Q217" s="68"/>
      <c r="R217" s="68"/>
    </row>
    <row r="218" spans="4:18" x14ac:dyDescent="0.25">
      <c r="D218" s="13"/>
      <c r="G218" s="120"/>
      <c r="Q218" s="68"/>
      <c r="R218" s="68"/>
    </row>
    <row r="219" spans="4:18" x14ac:dyDescent="0.25">
      <c r="D219" s="13"/>
      <c r="E219" s="156"/>
      <c r="F219" s="156"/>
      <c r="G219" s="122"/>
      <c r="H219" s="156"/>
      <c r="Q219" s="68"/>
      <c r="R219" s="68"/>
    </row>
    <row r="220" spans="4:18" x14ac:dyDescent="0.25">
      <c r="D220" s="13"/>
      <c r="G220" s="120"/>
      <c r="Q220" s="68"/>
      <c r="R220" s="68"/>
    </row>
    <row r="221" spans="4:18" x14ac:dyDescent="0.25">
      <c r="D221" s="13"/>
      <c r="G221" s="154"/>
      <c r="Q221" s="68"/>
      <c r="R221" s="68"/>
    </row>
    <row r="222" spans="4:18" x14ac:dyDescent="0.25">
      <c r="D222" s="13"/>
      <c r="G222" s="120"/>
      <c r="Q222" s="68"/>
      <c r="R222" s="68"/>
    </row>
    <row r="223" spans="4:18" x14ac:dyDescent="0.25">
      <c r="D223" s="13"/>
      <c r="E223" s="156"/>
      <c r="F223" s="156"/>
      <c r="G223" s="122"/>
      <c r="H223" s="156"/>
      <c r="Q223" s="68"/>
      <c r="R223" s="68"/>
    </row>
    <row r="224" spans="4:18" x14ac:dyDescent="0.25">
      <c r="D224" s="13"/>
      <c r="G224" s="154"/>
      <c r="Q224" s="68"/>
      <c r="R224" s="68"/>
    </row>
    <row r="225" spans="4:18" x14ac:dyDescent="0.25">
      <c r="D225" s="13"/>
      <c r="G225" s="154"/>
      <c r="Q225" s="68"/>
      <c r="R225" s="68"/>
    </row>
    <row r="226" spans="4:18" x14ac:dyDescent="0.25">
      <c r="D226" s="13"/>
      <c r="G226" s="120"/>
      <c r="Q226" s="68"/>
      <c r="R226" s="68"/>
    </row>
    <row r="227" spans="4:18" x14ac:dyDescent="0.25">
      <c r="D227" s="13"/>
      <c r="G227" s="120"/>
      <c r="Q227" s="68"/>
      <c r="R227" s="68"/>
    </row>
    <row r="228" spans="4:18" x14ac:dyDescent="0.25">
      <c r="D228" s="13"/>
      <c r="G228" s="120"/>
      <c r="Q228" s="68"/>
      <c r="R228" s="68"/>
    </row>
    <row r="229" spans="4:18" x14ac:dyDescent="0.25">
      <c r="D229" s="13"/>
      <c r="G229" s="154"/>
      <c r="Q229" s="68"/>
      <c r="R229" s="68"/>
    </row>
    <row r="230" spans="4:18" x14ac:dyDescent="0.25">
      <c r="D230" s="13"/>
      <c r="G230" s="120"/>
      <c r="Q230" s="68"/>
      <c r="R230" s="68"/>
    </row>
    <row r="231" spans="4:18" x14ac:dyDescent="0.25">
      <c r="D231" s="13"/>
      <c r="E231" s="156"/>
      <c r="F231" s="156"/>
      <c r="G231" s="122"/>
      <c r="H231" s="156"/>
      <c r="Q231" s="68"/>
      <c r="R231" s="68"/>
    </row>
    <row r="232" spans="4:18" x14ac:dyDescent="0.25">
      <c r="D232" s="13"/>
      <c r="E232" s="108"/>
      <c r="F232" s="108"/>
      <c r="G232" s="122"/>
      <c r="H232" s="108"/>
      <c r="Q232" s="68"/>
      <c r="R232" s="68"/>
    </row>
    <row r="233" spans="4:18" x14ac:dyDescent="0.25">
      <c r="D233" s="13"/>
      <c r="G233" s="154"/>
      <c r="Q233" s="68"/>
      <c r="R233" s="68"/>
    </row>
    <row r="234" spans="4:18" x14ac:dyDescent="0.25">
      <c r="D234" s="13"/>
      <c r="E234" s="156"/>
      <c r="F234" s="156"/>
      <c r="G234" s="122"/>
      <c r="H234" s="156"/>
      <c r="Q234" s="68"/>
      <c r="R234" s="68"/>
    </row>
    <row r="235" spans="4:18" x14ac:dyDescent="0.25">
      <c r="D235" s="13"/>
      <c r="G235" s="120"/>
      <c r="Q235" s="68"/>
      <c r="R235" s="68"/>
    </row>
    <row r="236" spans="4:18" x14ac:dyDescent="0.25">
      <c r="D236" s="13"/>
      <c r="G236" s="120"/>
      <c r="Q236" s="68"/>
      <c r="R236" s="68"/>
    </row>
    <row r="237" spans="4:18" x14ac:dyDescent="0.25">
      <c r="D237" s="13"/>
      <c r="G237" s="154"/>
      <c r="Q237" s="68"/>
      <c r="R237" s="68"/>
    </row>
    <row r="238" spans="4:18" x14ac:dyDescent="0.25">
      <c r="D238" s="13"/>
      <c r="G238" s="120"/>
      <c r="Q238" s="68"/>
      <c r="R238" s="68"/>
    </row>
    <row r="239" spans="4:18" x14ac:dyDescent="0.25">
      <c r="D239" s="13"/>
      <c r="G239" s="154"/>
      <c r="Q239" s="68"/>
      <c r="R239" s="68"/>
    </row>
    <row r="240" spans="4:18" x14ac:dyDescent="0.25">
      <c r="D240" s="13"/>
      <c r="Q240" s="68"/>
      <c r="R240" s="68"/>
    </row>
    <row r="241" spans="4:18" x14ac:dyDescent="0.25">
      <c r="D241" s="13"/>
      <c r="G241" s="154"/>
      <c r="Q241" s="68"/>
      <c r="R241" s="68"/>
    </row>
    <row r="242" spans="4:18" x14ac:dyDescent="0.25">
      <c r="D242" s="13"/>
      <c r="G242" s="154"/>
      <c r="Q242" s="68"/>
      <c r="R242" s="68"/>
    </row>
    <row r="243" spans="4:18" x14ac:dyDescent="0.25">
      <c r="D243" s="13"/>
      <c r="G243" s="154"/>
      <c r="Q243" s="68"/>
      <c r="R243" s="68"/>
    </row>
    <row r="244" spans="4:18" x14ac:dyDescent="0.25">
      <c r="D244" s="13"/>
      <c r="G244" s="154"/>
      <c r="Q244" s="68"/>
      <c r="R244" s="68"/>
    </row>
    <row r="245" spans="4:18" x14ac:dyDescent="0.25">
      <c r="D245" s="13"/>
      <c r="G245" s="154"/>
      <c r="Q245" s="68"/>
      <c r="R245" s="68"/>
    </row>
    <row r="246" spans="4:18" x14ac:dyDescent="0.25">
      <c r="D246" s="13"/>
      <c r="G246" s="154"/>
      <c r="Q246" s="68"/>
      <c r="R246" s="68"/>
    </row>
    <row r="247" spans="4:18" x14ac:dyDescent="0.25">
      <c r="D247" s="13"/>
      <c r="G247" s="154"/>
      <c r="Q247" s="68"/>
      <c r="R247" s="68"/>
    </row>
    <row r="248" spans="4:18" x14ac:dyDescent="0.25">
      <c r="D248" s="13"/>
      <c r="G248" s="154"/>
      <c r="Q248" s="68"/>
      <c r="R248" s="68"/>
    </row>
    <row r="249" spans="4:18" x14ac:dyDescent="0.25">
      <c r="D249" s="13"/>
      <c r="G249" s="154"/>
      <c r="Q249" s="68"/>
      <c r="R249" s="68"/>
    </row>
    <row r="250" spans="4:18" x14ac:dyDescent="0.25">
      <c r="D250" s="13"/>
      <c r="G250" s="154"/>
      <c r="Q250" s="68"/>
      <c r="R250" s="68"/>
    </row>
    <row r="251" spans="4:18" x14ac:dyDescent="0.25">
      <c r="D251" s="13"/>
      <c r="G251" s="154"/>
      <c r="Q251" s="68"/>
      <c r="R251" s="68"/>
    </row>
    <row r="252" spans="4:18" x14ac:dyDescent="0.25">
      <c r="D252" s="13"/>
      <c r="G252" s="154"/>
      <c r="Q252" s="68"/>
      <c r="R252" s="68"/>
    </row>
    <row r="253" spans="4:18" x14ac:dyDescent="0.25">
      <c r="D253" s="13"/>
      <c r="G253" s="154"/>
      <c r="Q253" s="68"/>
      <c r="R253" s="68"/>
    </row>
    <row r="254" spans="4:18" x14ac:dyDescent="0.25">
      <c r="D254" s="13"/>
      <c r="G254" s="154"/>
      <c r="Q254" s="68"/>
      <c r="R254" s="68"/>
    </row>
    <row r="255" spans="4:18" x14ac:dyDescent="0.25">
      <c r="D255" s="13"/>
      <c r="G255" s="154"/>
      <c r="Q255" s="68"/>
      <c r="R255" s="68"/>
    </row>
    <row r="256" spans="4:18" x14ac:dyDescent="0.25">
      <c r="D256" s="13"/>
      <c r="G256" s="154"/>
      <c r="Q256" s="68"/>
      <c r="R256" s="68"/>
    </row>
    <row r="257" spans="4:18" x14ac:dyDescent="0.25">
      <c r="D257" s="13"/>
      <c r="G257" s="154"/>
      <c r="Q257" s="68"/>
      <c r="R257" s="68"/>
    </row>
    <row r="258" spans="4:18" x14ac:dyDescent="0.25">
      <c r="D258" s="13"/>
      <c r="G258" s="154"/>
      <c r="Q258" s="68"/>
      <c r="R258" s="68"/>
    </row>
    <row r="259" spans="4:18" x14ac:dyDescent="0.25">
      <c r="D259" s="13"/>
      <c r="G259" s="120"/>
      <c r="Q259" s="68"/>
      <c r="R259" s="68"/>
    </row>
    <row r="260" spans="4:18" x14ac:dyDescent="0.25">
      <c r="D260" s="13"/>
      <c r="E260" s="156"/>
      <c r="F260" s="156"/>
      <c r="G260" s="154"/>
      <c r="H260" s="156"/>
      <c r="Q260" s="68"/>
      <c r="R260" s="68"/>
    </row>
    <row r="261" spans="4:18" x14ac:dyDescent="0.25">
      <c r="D261" s="13"/>
      <c r="E261" s="156"/>
      <c r="F261" s="156"/>
      <c r="G261" s="154"/>
      <c r="H261" s="156"/>
      <c r="Q261" s="68"/>
      <c r="R261" s="68"/>
    </row>
    <row r="262" spans="4:18" x14ac:dyDescent="0.25">
      <c r="D262" s="13"/>
      <c r="E262" s="156"/>
      <c r="F262" s="156"/>
      <c r="G262" s="154"/>
      <c r="H262" s="156"/>
      <c r="Q262" s="68"/>
      <c r="R262" s="68"/>
    </row>
    <row r="263" spans="4:18" x14ac:dyDescent="0.25">
      <c r="D263" s="13"/>
      <c r="E263" s="156"/>
      <c r="F263" s="156"/>
      <c r="G263" s="154"/>
      <c r="H263" s="156"/>
      <c r="Q263" s="68"/>
      <c r="R263" s="68"/>
    </row>
    <row r="264" spans="4:18" x14ac:dyDescent="0.25">
      <c r="D264" s="13"/>
      <c r="E264" s="156"/>
      <c r="F264" s="156"/>
      <c r="G264" s="154"/>
      <c r="H264" s="156"/>
      <c r="Q264" s="68"/>
      <c r="R264" s="68"/>
    </row>
    <row r="265" spans="4:18" x14ac:dyDescent="0.25">
      <c r="D265" s="13"/>
      <c r="E265" s="156"/>
      <c r="F265" s="156"/>
      <c r="G265" s="154"/>
      <c r="H265" s="156"/>
      <c r="Q265" s="68"/>
      <c r="R265" s="68"/>
    </row>
    <row r="266" spans="4:18" x14ac:dyDescent="0.25">
      <c r="D266" s="13"/>
      <c r="E266" s="156"/>
      <c r="F266" s="156"/>
      <c r="G266" s="154"/>
      <c r="H266" s="156"/>
      <c r="Q266" s="68"/>
      <c r="R266" s="68"/>
    </row>
    <row r="267" spans="4:18" x14ac:dyDescent="0.25">
      <c r="D267" s="13"/>
      <c r="E267" s="156"/>
      <c r="F267" s="156"/>
      <c r="G267" s="154"/>
      <c r="H267" s="156"/>
      <c r="Q267" s="68"/>
      <c r="R267" s="68"/>
    </row>
    <row r="268" spans="4:18" x14ac:dyDescent="0.25">
      <c r="D268" s="13"/>
      <c r="E268" s="156"/>
      <c r="F268" s="156"/>
      <c r="G268" s="154"/>
      <c r="H268" s="156"/>
      <c r="Q268" s="68"/>
      <c r="R268" s="68"/>
    </row>
    <row r="269" spans="4:18" x14ac:dyDescent="0.25">
      <c r="D269" s="13"/>
      <c r="G269" s="154"/>
      <c r="Q269" s="68"/>
      <c r="R269" s="68"/>
    </row>
    <row r="270" spans="4:18" x14ac:dyDescent="0.25">
      <c r="D270" s="13"/>
      <c r="G270" s="154"/>
      <c r="Q270" s="68"/>
      <c r="R270" s="68"/>
    </row>
    <row r="271" spans="4:18" x14ac:dyDescent="0.25">
      <c r="D271" s="13"/>
      <c r="G271" s="154"/>
      <c r="Q271" s="68"/>
      <c r="R271" s="68"/>
    </row>
    <row r="272" spans="4:18" x14ac:dyDescent="0.25">
      <c r="D272" s="13"/>
      <c r="E272" s="108"/>
      <c r="F272" s="108"/>
      <c r="G272" s="122"/>
      <c r="H272" s="108"/>
      <c r="Q272" s="68"/>
      <c r="R272" s="68"/>
    </row>
    <row r="273" spans="4:18" x14ac:dyDescent="0.25">
      <c r="D273" s="13"/>
      <c r="G273" s="154"/>
      <c r="Q273" s="68"/>
      <c r="R273" s="68"/>
    </row>
    <row r="274" spans="4:18" x14ac:dyDescent="0.25">
      <c r="D274" s="13"/>
      <c r="G274" s="154"/>
      <c r="Q274" s="68"/>
      <c r="R274" s="68"/>
    </row>
    <row r="275" spans="4:18" x14ac:dyDescent="0.25">
      <c r="D275" s="13"/>
      <c r="E275" s="108"/>
      <c r="F275" s="108"/>
      <c r="G275" s="122"/>
      <c r="H275" s="108"/>
      <c r="Q275" s="68"/>
      <c r="R275" s="68"/>
    </row>
    <row r="276" spans="4:18" x14ac:dyDescent="0.25">
      <c r="D276" s="13"/>
      <c r="G276" s="154"/>
      <c r="Q276" s="68"/>
      <c r="R276" s="68"/>
    </row>
    <row r="277" spans="4:18" x14ac:dyDescent="0.25">
      <c r="D277" s="13"/>
      <c r="G277" s="154"/>
      <c r="Q277" s="68"/>
      <c r="R277" s="68"/>
    </row>
    <row r="278" spans="4:18" x14ac:dyDescent="0.25">
      <c r="D278" s="13"/>
      <c r="Q278" s="68"/>
      <c r="R278" s="68"/>
    </row>
    <row r="279" spans="4:18" x14ac:dyDescent="0.25">
      <c r="D279" s="13"/>
      <c r="G279" s="154"/>
      <c r="Q279" s="68"/>
      <c r="R279" s="68"/>
    </row>
    <row r="280" spans="4:18" x14ac:dyDescent="0.25">
      <c r="D280" s="13"/>
      <c r="G280" s="154"/>
      <c r="Q280" s="68"/>
      <c r="R280" s="68"/>
    </row>
    <row r="281" spans="4:18" x14ac:dyDescent="0.25">
      <c r="D281" s="13"/>
      <c r="G281" s="154"/>
      <c r="Q281" s="68"/>
      <c r="R281" s="68"/>
    </row>
    <row r="282" spans="4:18" x14ac:dyDescent="0.25">
      <c r="D282" s="13"/>
      <c r="G282" s="154"/>
      <c r="Q282" s="68"/>
      <c r="R282" s="68"/>
    </row>
    <row r="283" spans="4:18" x14ac:dyDescent="0.25">
      <c r="D283" s="13"/>
      <c r="G283" s="154"/>
      <c r="Q283" s="68"/>
      <c r="R283" s="68"/>
    </row>
    <row r="284" spans="4:18" x14ac:dyDescent="0.25">
      <c r="D284" s="13"/>
      <c r="G284" s="154"/>
      <c r="Q284" s="68"/>
      <c r="R284" s="68"/>
    </row>
    <row r="285" spans="4:18" x14ac:dyDescent="0.25">
      <c r="D285" s="13"/>
      <c r="G285" s="154"/>
      <c r="Q285" s="68"/>
      <c r="R285" s="68"/>
    </row>
    <row r="286" spans="4:18" x14ac:dyDescent="0.25">
      <c r="D286" s="13"/>
      <c r="E286" s="108"/>
      <c r="F286" s="108"/>
      <c r="G286" s="101"/>
      <c r="H286" s="108"/>
      <c r="Q286" s="68"/>
      <c r="R286" s="68"/>
    </row>
    <row r="287" spans="4:18" x14ac:dyDescent="0.25">
      <c r="D287" s="13"/>
      <c r="E287" s="108"/>
      <c r="F287" s="108"/>
      <c r="G287" s="101"/>
      <c r="H287" s="108"/>
      <c r="Q287" s="68"/>
      <c r="R287" s="68"/>
    </row>
    <row r="288" spans="4:18" x14ac:dyDescent="0.25">
      <c r="D288" s="13"/>
      <c r="G288" s="154"/>
      <c r="Q288" s="68"/>
      <c r="R288" s="68"/>
    </row>
    <row r="289" spans="4:18" x14ac:dyDescent="0.25">
      <c r="D289" s="13"/>
      <c r="G289" s="154"/>
      <c r="Q289" s="68"/>
      <c r="R289" s="68"/>
    </row>
    <row r="290" spans="4:18" x14ac:dyDescent="0.25">
      <c r="D290" s="13"/>
      <c r="E290" s="108"/>
      <c r="F290" s="108"/>
      <c r="G290" s="122"/>
      <c r="H290" s="108"/>
      <c r="Q290" s="68"/>
      <c r="R290" s="68"/>
    </row>
    <row r="291" spans="4:18" x14ac:dyDescent="0.25">
      <c r="D291" s="13"/>
      <c r="G291" s="154"/>
    </row>
    <row r="292" spans="4:18" x14ac:dyDescent="0.25">
      <c r="D292" s="13"/>
      <c r="E292" s="108"/>
      <c r="F292" s="108"/>
      <c r="G292" s="122"/>
      <c r="H292" s="108"/>
    </row>
    <row r="293" spans="4:18" x14ac:dyDescent="0.25">
      <c r="D293" s="13"/>
      <c r="G293" s="154"/>
    </row>
    <row r="294" spans="4:18" x14ac:dyDescent="0.25">
      <c r="D294" s="13"/>
      <c r="E294" s="156"/>
      <c r="F294" s="156"/>
      <c r="G294" s="154"/>
      <c r="H294" s="156"/>
    </row>
    <row r="295" spans="4:18" x14ac:dyDescent="0.25">
      <c r="D295" s="13"/>
      <c r="E295" s="156"/>
      <c r="F295" s="156"/>
      <c r="G295" s="154"/>
      <c r="H295" s="156"/>
    </row>
    <row r="296" spans="4:18" x14ac:dyDescent="0.25">
      <c r="D296" s="13"/>
      <c r="G296" s="154"/>
    </row>
    <row r="297" spans="4:18" x14ac:dyDescent="0.25">
      <c r="D297" s="13"/>
      <c r="G297" s="154"/>
    </row>
    <row r="298" spans="4:18" x14ac:dyDescent="0.25">
      <c r="D298" s="13"/>
      <c r="G298" s="154"/>
    </row>
    <row r="299" spans="4:18" x14ac:dyDescent="0.25">
      <c r="D299" s="13"/>
      <c r="G299" s="154"/>
    </row>
    <row r="300" spans="4:18" x14ac:dyDescent="0.25">
      <c r="D300" s="13"/>
      <c r="G300" s="154"/>
    </row>
    <row r="301" spans="4:18" x14ac:dyDescent="0.25">
      <c r="D301" s="13"/>
      <c r="G301" s="154"/>
    </row>
    <row r="302" spans="4:18" x14ac:dyDescent="0.25">
      <c r="D302" s="13"/>
      <c r="G302" s="154"/>
    </row>
    <row r="303" spans="4:18" x14ac:dyDescent="0.25">
      <c r="D303" s="13"/>
      <c r="G303" s="154"/>
    </row>
    <row r="304" spans="4:18" x14ac:dyDescent="0.25">
      <c r="D304" s="13"/>
      <c r="G304" s="154"/>
    </row>
    <row r="305" spans="4:8" x14ac:dyDescent="0.25">
      <c r="D305" s="13"/>
      <c r="G305" s="154"/>
    </row>
    <row r="306" spans="4:8" x14ac:dyDescent="0.25">
      <c r="D306" s="13"/>
      <c r="G306" s="154"/>
    </row>
    <row r="307" spans="4:8" x14ac:dyDescent="0.25">
      <c r="D307" s="13"/>
      <c r="G307" s="154"/>
    </row>
    <row r="308" spans="4:8" x14ac:dyDescent="0.25">
      <c r="D308" s="13"/>
      <c r="G308" s="154"/>
    </row>
    <row r="309" spans="4:8" x14ac:dyDescent="0.25">
      <c r="D309" s="13"/>
      <c r="G309" s="154"/>
    </row>
    <row r="310" spans="4:8" x14ac:dyDescent="0.25">
      <c r="D310" s="13"/>
      <c r="E310" s="108"/>
      <c r="F310" s="108"/>
      <c r="G310" s="101"/>
      <c r="H310" s="108"/>
    </row>
    <row r="311" spans="4:8" x14ac:dyDescent="0.25">
      <c r="D311" s="13"/>
      <c r="G311" s="154"/>
    </row>
    <row r="312" spans="4:8" x14ac:dyDescent="0.25">
      <c r="D312" s="13"/>
      <c r="G312" s="154"/>
    </row>
    <row r="313" spans="4:8" x14ac:dyDescent="0.25">
      <c r="D313" s="13"/>
      <c r="G313" s="154"/>
    </row>
    <row r="314" spans="4:8" x14ac:dyDescent="0.25">
      <c r="D314" s="13"/>
      <c r="G314" s="154"/>
    </row>
    <row r="315" spans="4:8" x14ac:dyDescent="0.25">
      <c r="D315" s="13"/>
      <c r="G315" s="154"/>
    </row>
    <row r="316" spans="4:8" x14ac:dyDescent="0.25">
      <c r="D316" s="13"/>
      <c r="G316" s="154"/>
    </row>
    <row r="317" spans="4:8" x14ac:dyDescent="0.25">
      <c r="D317" s="13"/>
      <c r="G317" s="154"/>
    </row>
    <row r="318" spans="4:8" x14ac:dyDescent="0.25">
      <c r="D318" s="13"/>
      <c r="G318" s="154"/>
    </row>
    <row r="319" spans="4:8" x14ac:dyDescent="0.25">
      <c r="D319" s="13"/>
      <c r="G319" s="154"/>
    </row>
    <row r="320" spans="4:8" x14ac:dyDescent="0.25">
      <c r="D320" s="13"/>
    </row>
    <row r="321" spans="4:7" x14ac:dyDescent="0.25">
      <c r="D321" s="13"/>
      <c r="G321" s="154"/>
    </row>
    <row r="322" spans="4:7" x14ac:dyDescent="0.25">
      <c r="D322" s="13"/>
    </row>
    <row r="323" spans="4:7" x14ac:dyDescent="0.25">
      <c r="D323" s="13"/>
    </row>
    <row r="324" spans="4:7" x14ac:dyDescent="0.25">
      <c r="D324" s="13"/>
    </row>
    <row r="325" spans="4:7" x14ac:dyDescent="0.25">
      <c r="D325" s="13"/>
    </row>
    <row r="326" spans="4:7" x14ac:dyDescent="0.25">
      <c r="D326" s="13"/>
    </row>
    <row r="327" spans="4:7" x14ac:dyDescent="0.25">
      <c r="D327" s="13"/>
    </row>
    <row r="328" spans="4:7" x14ac:dyDescent="0.25">
      <c r="D328" s="13"/>
    </row>
    <row r="329" spans="4:7" x14ac:dyDescent="0.25">
      <c r="D329" s="13"/>
    </row>
    <row r="330" spans="4:7" x14ac:dyDescent="0.25">
      <c r="D330" s="13"/>
    </row>
    <row r="331" spans="4:7" x14ac:dyDescent="0.25">
      <c r="D331" s="13"/>
    </row>
    <row r="332" spans="4:7" x14ac:dyDescent="0.25">
      <c r="D332" s="13"/>
    </row>
    <row r="333" spans="4:7" x14ac:dyDescent="0.25">
      <c r="D333" s="13"/>
    </row>
    <row r="334" spans="4:7" x14ac:dyDescent="0.25">
      <c r="D334" s="13"/>
    </row>
    <row r="335" spans="4:7" x14ac:dyDescent="0.25">
      <c r="D335" s="13"/>
    </row>
    <row r="336" spans="4:7" x14ac:dyDescent="0.25">
      <c r="D336" s="13"/>
    </row>
    <row r="337" spans="4:4" x14ac:dyDescent="0.25">
      <c r="D337" s="13"/>
    </row>
    <row r="338" spans="4:4" x14ac:dyDescent="0.25">
      <c r="D338" s="13"/>
    </row>
    <row r="339" spans="4:4" x14ac:dyDescent="0.25">
      <c r="D339" s="13"/>
    </row>
    <row r="340" spans="4:4" x14ac:dyDescent="0.25">
      <c r="D340" s="13"/>
    </row>
    <row r="341" spans="4:4" x14ac:dyDescent="0.25">
      <c r="D341" s="13"/>
    </row>
    <row r="342" spans="4:4" x14ac:dyDescent="0.25">
      <c r="D342" s="13"/>
    </row>
    <row r="343" spans="4:4" x14ac:dyDescent="0.25">
      <c r="D343" s="13"/>
    </row>
    <row r="344" spans="4:4" x14ac:dyDescent="0.25">
      <c r="D344" s="13"/>
    </row>
    <row r="345" spans="4:4" x14ac:dyDescent="0.25">
      <c r="D345" s="13"/>
    </row>
    <row r="346" spans="4:4" x14ac:dyDescent="0.25">
      <c r="D346" s="13"/>
    </row>
    <row r="347" spans="4:4" x14ac:dyDescent="0.25">
      <c r="D347" s="13"/>
    </row>
    <row r="348" spans="4:4" x14ac:dyDescent="0.25">
      <c r="D348" s="13"/>
    </row>
    <row r="349" spans="4:4" x14ac:dyDescent="0.25">
      <c r="D349" s="13"/>
    </row>
    <row r="350" spans="4:4" x14ac:dyDescent="0.25">
      <c r="D350" s="13"/>
    </row>
    <row r="351" spans="4:4" x14ac:dyDescent="0.25">
      <c r="D351" s="13"/>
    </row>
    <row r="352" spans="4:4" x14ac:dyDescent="0.25">
      <c r="D352" s="13"/>
    </row>
    <row r="353" spans="4:4" x14ac:dyDescent="0.25">
      <c r="D353" s="13"/>
    </row>
    <row r="354" spans="4:4" x14ac:dyDescent="0.25">
      <c r="D354" s="13"/>
    </row>
    <row r="355" spans="4:4" x14ac:dyDescent="0.25">
      <c r="D355" s="13"/>
    </row>
    <row r="356" spans="4:4" x14ac:dyDescent="0.25">
      <c r="D356" s="13"/>
    </row>
    <row r="357" spans="4:4" x14ac:dyDescent="0.25">
      <c r="D357" s="13"/>
    </row>
    <row r="358" spans="4:4" x14ac:dyDescent="0.25">
      <c r="D358" s="13"/>
    </row>
    <row r="359" spans="4:4" x14ac:dyDescent="0.25">
      <c r="D359" s="13"/>
    </row>
    <row r="360" spans="4:4" x14ac:dyDescent="0.25">
      <c r="D360" s="13"/>
    </row>
    <row r="361" spans="4:4" x14ac:dyDescent="0.25">
      <c r="D361" s="13"/>
    </row>
    <row r="362" spans="4:4" x14ac:dyDescent="0.25">
      <c r="D362" s="13"/>
    </row>
    <row r="363" spans="4:4" x14ac:dyDescent="0.25">
      <c r="D363" s="13"/>
    </row>
    <row r="364" spans="4:4" x14ac:dyDescent="0.25">
      <c r="D364" s="13"/>
    </row>
    <row r="365" spans="4:4" x14ac:dyDescent="0.25">
      <c r="D365" s="13"/>
    </row>
    <row r="366" spans="4:4" x14ac:dyDescent="0.25">
      <c r="D366" s="13"/>
    </row>
    <row r="367" spans="4:4" x14ac:dyDescent="0.25">
      <c r="D367" s="13"/>
    </row>
    <row r="368" spans="4:4" x14ac:dyDescent="0.25">
      <c r="D368" s="13"/>
    </row>
    <row r="369" spans="4:4" x14ac:dyDescent="0.25">
      <c r="D369" s="13"/>
    </row>
    <row r="370" spans="4:4" x14ac:dyDescent="0.25">
      <c r="D370" s="13"/>
    </row>
    <row r="371" spans="4:4" x14ac:dyDescent="0.25">
      <c r="D371" s="13"/>
    </row>
    <row r="372" spans="4:4" x14ac:dyDescent="0.25">
      <c r="D372" s="13"/>
    </row>
    <row r="373" spans="4:4" x14ac:dyDescent="0.25">
      <c r="D373" s="13"/>
    </row>
    <row r="374" spans="4:4" x14ac:dyDescent="0.25">
      <c r="D374" s="13"/>
    </row>
    <row r="375" spans="4:4" x14ac:dyDescent="0.25">
      <c r="D375" s="13"/>
    </row>
    <row r="376" spans="4:4" x14ac:dyDescent="0.25">
      <c r="D376" s="13"/>
    </row>
    <row r="377" spans="4:4" x14ac:dyDescent="0.25">
      <c r="D377" s="13"/>
    </row>
    <row r="378" spans="4:4" x14ac:dyDescent="0.25">
      <c r="D378" s="13"/>
    </row>
    <row r="379" spans="4:4" x14ac:dyDescent="0.25">
      <c r="D379" s="13"/>
    </row>
    <row r="380" spans="4:4" x14ac:dyDescent="0.25">
      <c r="D380" s="13"/>
    </row>
    <row r="381" spans="4:4" x14ac:dyDescent="0.25">
      <c r="D381" s="13"/>
    </row>
    <row r="382" spans="4:4" x14ac:dyDescent="0.25">
      <c r="D382" s="13"/>
    </row>
    <row r="383" spans="4:4" x14ac:dyDescent="0.25">
      <c r="D383" s="13"/>
    </row>
    <row r="384" spans="4:4" x14ac:dyDescent="0.25">
      <c r="D384" s="13"/>
    </row>
    <row r="385" spans="4:4" x14ac:dyDescent="0.25">
      <c r="D385" s="13"/>
    </row>
    <row r="386" spans="4:4" x14ac:dyDescent="0.25">
      <c r="D386" s="13"/>
    </row>
    <row r="387" spans="4:4" x14ac:dyDescent="0.25">
      <c r="D387" s="13"/>
    </row>
    <row r="388" spans="4:4" x14ac:dyDescent="0.25">
      <c r="D388" s="13"/>
    </row>
    <row r="389" spans="4:4" x14ac:dyDescent="0.25">
      <c r="D389" s="13"/>
    </row>
    <row r="390" spans="4:4" x14ac:dyDescent="0.25">
      <c r="D390" s="13"/>
    </row>
    <row r="391" spans="4:4" x14ac:dyDescent="0.25">
      <c r="D391" s="13"/>
    </row>
    <row r="392" spans="4:4" x14ac:dyDescent="0.25">
      <c r="D392" s="13"/>
    </row>
    <row r="393" spans="4:4" x14ac:dyDescent="0.25">
      <c r="D393" s="13"/>
    </row>
    <row r="394" spans="4:4" x14ac:dyDescent="0.25">
      <c r="D394" s="13"/>
    </row>
    <row r="395" spans="4:4" x14ac:dyDescent="0.25">
      <c r="D395" s="13"/>
    </row>
    <row r="396" spans="4:4" x14ac:dyDescent="0.25">
      <c r="D396" s="13"/>
    </row>
    <row r="397" spans="4:4" x14ac:dyDescent="0.25">
      <c r="D397" s="13"/>
    </row>
    <row r="398" spans="4:4" x14ac:dyDescent="0.25">
      <c r="D398" s="13"/>
    </row>
    <row r="399" spans="4:4" x14ac:dyDescent="0.25">
      <c r="D399" s="13"/>
    </row>
    <row r="400" spans="4:4" x14ac:dyDescent="0.25">
      <c r="D400" s="13"/>
    </row>
    <row r="401" spans="4:4" x14ac:dyDescent="0.25">
      <c r="D401" s="13"/>
    </row>
    <row r="402" spans="4:4" x14ac:dyDescent="0.25">
      <c r="D402" s="13"/>
    </row>
    <row r="403" spans="4:4" x14ac:dyDescent="0.25">
      <c r="D403" s="13"/>
    </row>
    <row r="404" spans="4:4" x14ac:dyDescent="0.25">
      <c r="D404" s="13"/>
    </row>
    <row r="405" spans="4:4" x14ac:dyDescent="0.25">
      <c r="D405" s="13"/>
    </row>
    <row r="406" spans="4:4" x14ac:dyDescent="0.25">
      <c r="D406" s="13"/>
    </row>
    <row r="407" spans="4:4" x14ac:dyDescent="0.25">
      <c r="D407" s="13"/>
    </row>
    <row r="408" spans="4:4" x14ac:dyDescent="0.25">
      <c r="D408" s="13"/>
    </row>
    <row r="409" spans="4:4" x14ac:dyDescent="0.25">
      <c r="D409" s="13"/>
    </row>
    <row r="410" spans="4:4" x14ac:dyDescent="0.25">
      <c r="D410" s="13"/>
    </row>
    <row r="411" spans="4:4" x14ac:dyDescent="0.25">
      <c r="D411" s="13"/>
    </row>
    <row r="412" spans="4:4" x14ac:dyDescent="0.25">
      <c r="D412" s="13"/>
    </row>
    <row r="413" spans="4:4" x14ac:dyDescent="0.25">
      <c r="D413" s="13"/>
    </row>
    <row r="414" spans="4:4" x14ac:dyDescent="0.25">
      <c r="D414" s="13"/>
    </row>
    <row r="415" spans="4:4" x14ac:dyDescent="0.25">
      <c r="D415" s="13"/>
    </row>
    <row r="416" spans="4:4" x14ac:dyDescent="0.25">
      <c r="D416" s="13"/>
    </row>
    <row r="417" spans="4:4" x14ac:dyDescent="0.25">
      <c r="D417" s="13"/>
    </row>
    <row r="418" spans="4:4" x14ac:dyDescent="0.25">
      <c r="D418" s="13"/>
    </row>
    <row r="419" spans="4:4" x14ac:dyDescent="0.25">
      <c r="D419" s="13"/>
    </row>
    <row r="420" spans="4:4" x14ac:dyDescent="0.25">
      <c r="D420" s="13"/>
    </row>
    <row r="421" spans="4:4" x14ac:dyDescent="0.25">
      <c r="D421" s="13"/>
    </row>
    <row r="422" spans="4:4" x14ac:dyDescent="0.25">
      <c r="D422" s="13"/>
    </row>
    <row r="423" spans="4:4" x14ac:dyDescent="0.25">
      <c r="D423" s="13"/>
    </row>
    <row r="424" spans="4:4" x14ac:dyDescent="0.25">
      <c r="D424" s="13"/>
    </row>
    <row r="425" spans="4:4" x14ac:dyDescent="0.25">
      <c r="D425" s="13"/>
    </row>
    <row r="426" spans="4:4" x14ac:dyDescent="0.25">
      <c r="D426" s="13"/>
    </row>
    <row r="427" spans="4:4" x14ac:dyDescent="0.25">
      <c r="D427" s="13"/>
    </row>
    <row r="428" spans="4:4" x14ac:dyDescent="0.25">
      <c r="D428" s="13"/>
    </row>
    <row r="429" spans="4:4" x14ac:dyDescent="0.25">
      <c r="D429" s="13"/>
    </row>
    <row r="430" spans="4:4" x14ac:dyDescent="0.25">
      <c r="D430" s="13"/>
    </row>
    <row r="431" spans="4:4" x14ac:dyDescent="0.25">
      <c r="D431" s="13"/>
    </row>
    <row r="432" spans="4:4" x14ac:dyDescent="0.25">
      <c r="D432" s="13"/>
    </row>
    <row r="433" spans="4:4" x14ac:dyDescent="0.25">
      <c r="D433" s="13"/>
    </row>
    <row r="434" spans="4:4" x14ac:dyDescent="0.25">
      <c r="D434" s="13"/>
    </row>
    <row r="435" spans="4:4" x14ac:dyDescent="0.25">
      <c r="D435" s="13"/>
    </row>
    <row r="436" spans="4:4" x14ac:dyDescent="0.25">
      <c r="D436" s="13"/>
    </row>
    <row r="437" spans="4:4" x14ac:dyDescent="0.25">
      <c r="D437" s="13"/>
    </row>
    <row r="438" spans="4:4" x14ac:dyDescent="0.25">
      <c r="D438" s="13"/>
    </row>
    <row r="439" spans="4:4" x14ac:dyDescent="0.25">
      <c r="D439" s="13"/>
    </row>
    <row r="440" spans="4:4" x14ac:dyDescent="0.25">
      <c r="D440" s="13"/>
    </row>
    <row r="441" spans="4:4" x14ac:dyDescent="0.25">
      <c r="D441" s="13"/>
    </row>
    <row r="442" spans="4:4" x14ac:dyDescent="0.25">
      <c r="D442" s="13"/>
    </row>
    <row r="443" spans="4:4" x14ac:dyDescent="0.25">
      <c r="D443" s="13"/>
    </row>
    <row r="444" spans="4:4" x14ac:dyDescent="0.25">
      <c r="D444" s="13"/>
    </row>
    <row r="445" spans="4:4" x14ac:dyDescent="0.25">
      <c r="D445" s="13"/>
    </row>
    <row r="446" spans="4:4" x14ac:dyDescent="0.25">
      <c r="D446" s="13"/>
    </row>
    <row r="447" spans="4:4" x14ac:dyDescent="0.25">
      <c r="D447" s="13"/>
    </row>
    <row r="448" spans="4:4" x14ac:dyDescent="0.25">
      <c r="D448" s="13"/>
    </row>
    <row r="449" spans="4:4" x14ac:dyDescent="0.25">
      <c r="D449" s="13"/>
    </row>
    <row r="450" spans="4:4" x14ac:dyDescent="0.25">
      <c r="D450" s="13"/>
    </row>
    <row r="451" spans="4:4" x14ac:dyDescent="0.25">
      <c r="D451" s="13"/>
    </row>
    <row r="452" spans="4:4" x14ac:dyDescent="0.25">
      <c r="D452" s="13"/>
    </row>
    <row r="453" spans="4:4" x14ac:dyDescent="0.25">
      <c r="D453" s="13"/>
    </row>
    <row r="454" spans="4:4" x14ac:dyDescent="0.25">
      <c r="D454" s="13"/>
    </row>
    <row r="455" spans="4:4" x14ac:dyDescent="0.25">
      <c r="D455" s="13"/>
    </row>
    <row r="456" spans="4:4" x14ac:dyDescent="0.25">
      <c r="D456" s="13"/>
    </row>
    <row r="457" spans="4:4" x14ac:dyDescent="0.25">
      <c r="D457" s="13"/>
    </row>
    <row r="458" spans="4:4" x14ac:dyDescent="0.25">
      <c r="D458" s="13"/>
    </row>
    <row r="459" spans="4:4" x14ac:dyDescent="0.25">
      <c r="D459" s="13"/>
    </row>
    <row r="460" spans="4:4" x14ac:dyDescent="0.25">
      <c r="D460" s="13"/>
    </row>
    <row r="461" spans="4:4" x14ac:dyDescent="0.25">
      <c r="D461" s="13"/>
    </row>
    <row r="462" spans="4:4" x14ac:dyDescent="0.25">
      <c r="D462" s="13"/>
    </row>
    <row r="463" spans="4:4" x14ac:dyDescent="0.25">
      <c r="D463" s="13"/>
    </row>
    <row r="464" spans="4:4" x14ac:dyDescent="0.25">
      <c r="D464" s="13"/>
    </row>
    <row r="465" spans="4:4" x14ac:dyDescent="0.25">
      <c r="D465" s="13"/>
    </row>
    <row r="466" spans="4:4" x14ac:dyDescent="0.25">
      <c r="D466" s="13"/>
    </row>
    <row r="467" spans="4:4" x14ac:dyDescent="0.25">
      <c r="D467" s="13"/>
    </row>
    <row r="468" spans="4:4" x14ac:dyDescent="0.25">
      <c r="D468" s="13"/>
    </row>
    <row r="469" spans="4:4" x14ac:dyDescent="0.25">
      <c r="D469" s="13"/>
    </row>
    <row r="470" spans="4:4" x14ac:dyDescent="0.25">
      <c r="D470" s="13"/>
    </row>
    <row r="471" spans="4:4" x14ac:dyDescent="0.25">
      <c r="D471" s="13"/>
    </row>
    <row r="472" spans="4:4" x14ac:dyDescent="0.25">
      <c r="D472" s="13"/>
    </row>
    <row r="473" spans="4:4" x14ac:dyDescent="0.25">
      <c r="D473" s="13"/>
    </row>
    <row r="474" spans="4:4" x14ac:dyDescent="0.25">
      <c r="D474" s="13"/>
    </row>
    <row r="475" spans="4:4" x14ac:dyDescent="0.25">
      <c r="D475" s="13"/>
    </row>
    <row r="476" spans="4:4" x14ac:dyDescent="0.25">
      <c r="D476" s="13"/>
    </row>
    <row r="477" spans="4:4" x14ac:dyDescent="0.25">
      <c r="D477" s="13"/>
    </row>
    <row r="478" spans="4:4" x14ac:dyDescent="0.25">
      <c r="D478" s="13"/>
    </row>
    <row r="479" spans="4:4" x14ac:dyDescent="0.25">
      <c r="D479" s="13"/>
    </row>
    <row r="480" spans="4:4" x14ac:dyDescent="0.25">
      <c r="D480" s="13"/>
    </row>
    <row r="481" spans="4:4" x14ac:dyDescent="0.25">
      <c r="D481" s="13"/>
    </row>
    <row r="482" spans="4:4" x14ac:dyDescent="0.25">
      <c r="D482" s="13"/>
    </row>
    <row r="483" spans="4:4" x14ac:dyDescent="0.25">
      <c r="D483" s="13"/>
    </row>
    <row r="484" spans="4:4" x14ac:dyDescent="0.25">
      <c r="D484" s="13"/>
    </row>
    <row r="485" spans="4:4" x14ac:dyDescent="0.25">
      <c r="D485" s="13"/>
    </row>
    <row r="486" spans="4:4" x14ac:dyDescent="0.25">
      <c r="D486" s="13"/>
    </row>
    <row r="487" spans="4:4" x14ac:dyDescent="0.25">
      <c r="D487" s="13"/>
    </row>
    <row r="488" spans="4:4" x14ac:dyDescent="0.25">
      <c r="D488" s="13"/>
    </row>
    <row r="489" spans="4:4" x14ac:dyDescent="0.25">
      <c r="D489" s="13"/>
    </row>
    <row r="490" spans="4:4" x14ac:dyDescent="0.25">
      <c r="D490" s="13"/>
    </row>
    <row r="491" spans="4:4" x14ac:dyDescent="0.25">
      <c r="D491" s="13"/>
    </row>
    <row r="492" spans="4:4" x14ac:dyDescent="0.25">
      <c r="D492" s="13"/>
    </row>
    <row r="493" spans="4:4" x14ac:dyDescent="0.25">
      <c r="D493" s="13"/>
    </row>
    <row r="494" spans="4:4" x14ac:dyDescent="0.25">
      <c r="D494" s="13"/>
    </row>
    <row r="495" spans="4:4" x14ac:dyDescent="0.25">
      <c r="D495" s="13"/>
    </row>
    <row r="496" spans="4:4" x14ac:dyDescent="0.25">
      <c r="D496" s="13"/>
    </row>
    <row r="497" spans="4:4" x14ac:dyDescent="0.25">
      <c r="D497" s="13"/>
    </row>
    <row r="498" spans="4:4" x14ac:dyDescent="0.25">
      <c r="D498" s="13"/>
    </row>
    <row r="499" spans="4:4" x14ac:dyDescent="0.25">
      <c r="D499" s="13"/>
    </row>
    <row r="500" spans="4:4" x14ac:dyDescent="0.25">
      <c r="D500" s="13"/>
    </row>
    <row r="501" spans="4:4" x14ac:dyDescent="0.25">
      <c r="D501" s="13"/>
    </row>
    <row r="502" spans="4:4" x14ac:dyDescent="0.25">
      <c r="D502" s="13"/>
    </row>
    <row r="503" spans="4:4" x14ac:dyDescent="0.25">
      <c r="D503" s="13"/>
    </row>
    <row r="504" spans="4:4" x14ac:dyDescent="0.25">
      <c r="D504" s="13"/>
    </row>
    <row r="505" spans="4:4" x14ac:dyDescent="0.25">
      <c r="D505" s="13"/>
    </row>
    <row r="506" spans="4:4" x14ac:dyDescent="0.25">
      <c r="D506" s="13"/>
    </row>
    <row r="507" spans="4:4" x14ac:dyDescent="0.25">
      <c r="D507" s="13"/>
    </row>
    <row r="508" spans="4:4" x14ac:dyDescent="0.25">
      <c r="D508" s="13"/>
    </row>
    <row r="509" spans="4:4" x14ac:dyDescent="0.25">
      <c r="D509" s="13"/>
    </row>
    <row r="510" spans="4:4" x14ac:dyDescent="0.25">
      <c r="D510" s="13"/>
    </row>
    <row r="511" spans="4:4" x14ac:dyDescent="0.25">
      <c r="D511" s="13"/>
    </row>
    <row r="512" spans="4:4" x14ac:dyDescent="0.25">
      <c r="D512" s="13"/>
    </row>
    <row r="513" spans="4:4" x14ac:dyDescent="0.25">
      <c r="D513" s="13"/>
    </row>
    <row r="514" spans="4:4" x14ac:dyDescent="0.25">
      <c r="D514" s="13"/>
    </row>
    <row r="515" spans="4:4" x14ac:dyDescent="0.25">
      <c r="D515" s="13"/>
    </row>
    <row r="516" spans="4:4" x14ac:dyDescent="0.25">
      <c r="D516" s="13"/>
    </row>
    <row r="517" spans="4:4" x14ac:dyDescent="0.25">
      <c r="D517" s="13"/>
    </row>
    <row r="518" spans="4:4" x14ac:dyDescent="0.25">
      <c r="D518" s="13"/>
    </row>
    <row r="519" spans="4:4" x14ac:dyDescent="0.25">
      <c r="D519" s="13"/>
    </row>
    <row r="520" spans="4:4" x14ac:dyDescent="0.25">
      <c r="D520" s="13"/>
    </row>
    <row r="521" spans="4:4" x14ac:dyDescent="0.25">
      <c r="D521" s="13"/>
    </row>
    <row r="522" spans="4:4" x14ac:dyDescent="0.25">
      <c r="D522" s="13"/>
    </row>
    <row r="523" spans="4:4" x14ac:dyDescent="0.25">
      <c r="D523" s="13"/>
    </row>
    <row r="524" spans="4:4" x14ac:dyDescent="0.25">
      <c r="D524" s="13"/>
    </row>
    <row r="525" spans="4:4" x14ac:dyDescent="0.25">
      <c r="D525" s="13"/>
    </row>
    <row r="526" spans="4:4" x14ac:dyDescent="0.25">
      <c r="D526" s="13"/>
    </row>
    <row r="527" spans="4:4" x14ac:dyDescent="0.25">
      <c r="D527" s="13"/>
    </row>
    <row r="528" spans="4:4" x14ac:dyDescent="0.25">
      <c r="D528" s="13"/>
    </row>
    <row r="529" spans="4:4" x14ac:dyDescent="0.25">
      <c r="D529" s="13"/>
    </row>
    <row r="530" spans="4:4" x14ac:dyDescent="0.25">
      <c r="D530" s="13"/>
    </row>
    <row r="531" spans="4:4" x14ac:dyDescent="0.25">
      <c r="D531" s="13"/>
    </row>
    <row r="532" spans="4:4" x14ac:dyDescent="0.25">
      <c r="D532" s="13"/>
    </row>
    <row r="533" spans="4:4" x14ac:dyDescent="0.25">
      <c r="D533" s="13"/>
    </row>
    <row r="534" spans="4:4" x14ac:dyDescent="0.25">
      <c r="D534" s="13"/>
    </row>
    <row r="535" spans="4:4" x14ac:dyDescent="0.25">
      <c r="D535" s="13"/>
    </row>
    <row r="536" spans="4:4" x14ac:dyDescent="0.25">
      <c r="D536" s="13"/>
    </row>
    <row r="537" spans="4:4" x14ac:dyDescent="0.25">
      <c r="D537" s="13"/>
    </row>
    <row r="538" spans="4:4" x14ac:dyDescent="0.25">
      <c r="D538" s="13"/>
    </row>
    <row r="539" spans="4:4" x14ac:dyDescent="0.25">
      <c r="D539" s="13"/>
    </row>
    <row r="540" spans="4:4" x14ac:dyDescent="0.25">
      <c r="D540" s="13"/>
    </row>
    <row r="541" spans="4:4" x14ac:dyDescent="0.25">
      <c r="D541" s="13"/>
    </row>
    <row r="542" spans="4:4" x14ac:dyDescent="0.25">
      <c r="D542" s="13"/>
    </row>
    <row r="543" spans="4:4" x14ac:dyDescent="0.25">
      <c r="D543" s="13"/>
    </row>
    <row r="544" spans="4:4" x14ac:dyDescent="0.25">
      <c r="D544" s="13"/>
    </row>
    <row r="545" spans="4:4" x14ac:dyDescent="0.25">
      <c r="D545" s="13"/>
    </row>
    <row r="546" spans="4:4" x14ac:dyDescent="0.25">
      <c r="D546" s="13"/>
    </row>
    <row r="547" spans="4:4" x14ac:dyDescent="0.25">
      <c r="D547" s="13"/>
    </row>
    <row r="548" spans="4:4" x14ac:dyDescent="0.25">
      <c r="D548" s="13"/>
    </row>
    <row r="549" spans="4:4" x14ac:dyDescent="0.25">
      <c r="D549" s="13"/>
    </row>
    <row r="550" spans="4:4" x14ac:dyDescent="0.25">
      <c r="D550" s="13"/>
    </row>
    <row r="551" spans="4:4" x14ac:dyDescent="0.25">
      <c r="D551" s="13"/>
    </row>
    <row r="552" spans="4:4" x14ac:dyDescent="0.25">
      <c r="D552" s="13"/>
    </row>
    <row r="553" spans="4:4" x14ac:dyDescent="0.25">
      <c r="D553" s="13"/>
    </row>
    <row r="554" spans="4:4" x14ac:dyDescent="0.25">
      <c r="D554" s="13"/>
    </row>
    <row r="555" spans="4:4" x14ac:dyDescent="0.25">
      <c r="D555" s="13"/>
    </row>
    <row r="556" spans="4:4" x14ac:dyDescent="0.25">
      <c r="D556" s="13"/>
    </row>
    <row r="557" spans="4:4" x14ac:dyDescent="0.25">
      <c r="D557" s="13"/>
    </row>
    <row r="558" spans="4:4" x14ac:dyDescent="0.25">
      <c r="D558" s="13"/>
    </row>
    <row r="559" spans="4:4" x14ac:dyDescent="0.25">
      <c r="D559" s="13"/>
    </row>
    <row r="560" spans="4:4" x14ac:dyDescent="0.25">
      <c r="D560" s="13"/>
    </row>
    <row r="561" spans="4:4" x14ac:dyDescent="0.25">
      <c r="D561" s="13"/>
    </row>
    <row r="562" spans="4:4" x14ac:dyDescent="0.25">
      <c r="D562" s="13"/>
    </row>
    <row r="563" spans="4:4" x14ac:dyDescent="0.25">
      <c r="D563" s="13"/>
    </row>
    <row r="564" spans="4:4" x14ac:dyDescent="0.25">
      <c r="D564" s="13"/>
    </row>
    <row r="565" spans="4:4" x14ac:dyDescent="0.25">
      <c r="D565" s="13"/>
    </row>
    <row r="566" spans="4:4" x14ac:dyDescent="0.25">
      <c r="D566" s="13"/>
    </row>
    <row r="567" spans="4:4" x14ac:dyDescent="0.25">
      <c r="D567" s="13"/>
    </row>
    <row r="568" spans="4:4" x14ac:dyDescent="0.25">
      <c r="D568" s="13"/>
    </row>
    <row r="569" spans="4:4" x14ac:dyDescent="0.25">
      <c r="D569" s="13"/>
    </row>
    <row r="570" spans="4:4" x14ac:dyDescent="0.25">
      <c r="D570" s="13"/>
    </row>
    <row r="571" spans="4:4" x14ac:dyDescent="0.25">
      <c r="D571" s="13"/>
    </row>
    <row r="572" spans="4:4" x14ac:dyDescent="0.25">
      <c r="D572" s="13"/>
    </row>
    <row r="573" spans="4:4" x14ac:dyDescent="0.25">
      <c r="D573" s="13"/>
    </row>
    <row r="574" spans="4:4" x14ac:dyDescent="0.25">
      <c r="D574" s="13"/>
    </row>
    <row r="575" spans="4:4" x14ac:dyDescent="0.25">
      <c r="D575" s="13"/>
    </row>
    <row r="576" spans="4:4" x14ac:dyDescent="0.25">
      <c r="D576" s="13"/>
    </row>
    <row r="577" spans="4:4" x14ac:dyDescent="0.25">
      <c r="D577" s="13"/>
    </row>
    <row r="578" spans="4:4" x14ac:dyDescent="0.25">
      <c r="D578" s="13"/>
    </row>
    <row r="579" spans="4:4" x14ac:dyDescent="0.25">
      <c r="D579" s="13"/>
    </row>
    <row r="580" spans="4:4" x14ac:dyDescent="0.25">
      <c r="D580" s="13"/>
    </row>
    <row r="581" spans="4:4" x14ac:dyDescent="0.25">
      <c r="D581" s="13"/>
    </row>
    <row r="582" spans="4:4" x14ac:dyDescent="0.25">
      <c r="D582" s="13"/>
    </row>
    <row r="583" spans="4:4" x14ac:dyDescent="0.25">
      <c r="D583" s="13"/>
    </row>
    <row r="584" spans="4:4" x14ac:dyDescent="0.25">
      <c r="D584" s="13"/>
    </row>
    <row r="585" spans="4:4" x14ac:dyDescent="0.25">
      <c r="D585" s="13"/>
    </row>
    <row r="586" spans="4:4" x14ac:dyDescent="0.25">
      <c r="D586" s="13"/>
    </row>
    <row r="587" spans="4:4" x14ac:dyDescent="0.25">
      <c r="D587" s="13"/>
    </row>
    <row r="588" spans="4:4" x14ac:dyDescent="0.25">
      <c r="D588" s="13"/>
    </row>
    <row r="589" spans="4:4" x14ac:dyDescent="0.25">
      <c r="D589" s="13"/>
    </row>
    <row r="590" spans="4:4" x14ac:dyDescent="0.25">
      <c r="D590" s="13"/>
    </row>
    <row r="591" spans="4:4" x14ac:dyDescent="0.25">
      <c r="D591" s="13"/>
    </row>
    <row r="592" spans="4:4" x14ac:dyDescent="0.25">
      <c r="D592" s="13"/>
    </row>
    <row r="593" spans="4:4" x14ac:dyDescent="0.25">
      <c r="D593" s="13"/>
    </row>
    <row r="594" spans="4:4" x14ac:dyDescent="0.25">
      <c r="D594" s="13"/>
    </row>
    <row r="595" spans="4:4" x14ac:dyDescent="0.25">
      <c r="D595" s="13"/>
    </row>
    <row r="596" spans="4:4" x14ac:dyDescent="0.25">
      <c r="D596" s="13"/>
    </row>
    <row r="597" spans="4:4" x14ac:dyDescent="0.25">
      <c r="D597" s="13"/>
    </row>
    <row r="598" spans="4:4" x14ac:dyDescent="0.25">
      <c r="D598" s="13"/>
    </row>
    <row r="599" spans="4:4" x14ac:dyDescent="0.25">
      <c r="D599" s="13"/>
    </row>
    <row r="600" spans="4:4" x14ac:dyDescent="0.25">
      <c r="D600" s="13"/>
    </row>
    <row r="601" spans="4:4" x14ac:dyDescent="0.25">
      <c r="D601" s="13"/>
    </row>
    <row r="602" spans="4:4" x14ac:dyDescent="0.25">
      <c r="D602" s="13"/>
    </row>
    <row r="603" spans="4:4" x14ac:dyDescent="0.25">
      <c r="D603" s="13"/>
    </row>
    <row r="604" spans="4:4" x14ac:dyDescent="0.25">
      <c r="D604" s="13"/>
    </row>
    <row r="605" spans="4:4" x14ac:dyDescent="0.25">
      <c r="D605" s="13"/>
    </row>
    <row r="606" spans="4:4" x14ac:dyDescent="0.25">
      <c r="D606" s="13"/>
    </row>
    <row r="607" spans="4:4" x14ac:dyDescent="0.25">
      <c r="D607" s="13"/>
    </row>
    <row r="608" spans="4:4" x14ac:dyDescent="0.25">
      <c r="D608" s="13"/>
    </row>
    <row r="609" spans="4:4" x14ac:dyDescent="0.25">
      <c r="D609" s="13"/>
    </row>
    <row r="610" spans="4:4" x14ac:dyDescent="0.25">
      <c r="D610" s="13"/>
    </row>
    <row r="611" spans="4:4" x14ac:dyDescent="0.25">
      <c r="D611" s="13"/>
    </row>
    <row r="612" spans="4:4" x14ac:dyDescent="0.25">
      <c r="D612" s="13"/>
    </row>
    <row r="613" spans="4:4" x14ac:dyDescent="0.25">
      <c r="D613" s="13"/>
    </row>
    <row r="614" spans="4:4" x14ac:dyDescent="0.25">
      <c r="D614" s="13"/>
    </row>
    <row r="615" spans="4:4" x14ac:dyDescent="0.25">
      <c r="D615" s="13"/>
    </row>
    <row r="616" spans="4:4" x14ac:dyDescent="0.25">
      <c r="D616" s="13"/>
    </row>
    <row r="617" spans="4:4" x14ac:dyDescent="0.25">
      <c r="D617" s="13"/>
    </row>
    <row r="618" spans="4:4" x14ac:dyDescent="0.25">
      <c r="D618" s="13"/>
    </row>
    <row r="619" spans="4:4" x14ac:dyDescent="0.25">
      <c r="D619" s="13"/>
    </row>
    <row r="620" spans="4:4" x14ac:dyDescent="0.25">
      <c r="D620" s="13"/>
    </row>
    <row r="621" spans="4:4" x14ac:dyDescent="0.25">
      <c r="D621" s="13"/>
    </row>
    <row r="622" spans="4:4" x14ac:dyDescent="0.25">
      <c r="D622" s="13"/>
    </row>
    <row r="623" spans="4:4" x14ac:dyDescent="0.25">
      <c r="D623" s="13"/>
    </row>
    <row r="624" spans="4:4" x14ac:dyDescent="0.25">
      <c r="D624" s="13"/>
    </row>
    <row r="625" spans="4:4" x14ac:dyDescent="0.25">
      <c r="D625" s="13"/>
    </row>
    <row r="626" spans="4:4" x14ac:dyDescent="0.25">
      <c r="D626" s="13"/>
    </row>
    <row r="627" spans="4:4" x14ac:dyDescent="0.25">
      <c r="D627" s="13"/>
    </row>
    <row r="628" spans="4:4" x14ac:dyDescent="0.25">
      <c r="D628" s="13"/>
    </row>
    <row r="629" spans="4:4" x14ac:dyDescent="0.25">
      <c r="D629" s="13"/>
    </row>
    <row r="630" spans="4:4" x14ac:dyDescent="0.25">
      <c r="D630" s="13"/>
    </row>
    <row r="631" spans="4:4" x14ac:dyDescent="0.25">
      <c r="D631" s="13"/>
    </row>
    <row r="632" spans="4:4" x14ac:dyDescent="0.25">
      <c r="D632" s="13"/>
    </row>
    <row r="633" spans="4:4" x14ac:dyDescent="0.25">
      <c r="D633" s="13"/>
    </row>
    <row r="634" spans="4:4" x14ac:dyDescent="0.25">
      <c r="D634" s="13"/>
    </row>
    <row r="635" spans="4:4" x14ac:dyDescent="0.25">
      <c r="D635" s="13"/>
    </row>
    <row r="636" spans="4:4" x14ac:dyDescent="0.25">
      <c r="D636" s="13"/>
    </row>
    <row r="637" spans="4:4" x14ac:dyDescent="0.25">
      <c r="D637" s="13"/>
    </row>
    <row r="638" spans="4:4" x14ac:dyDescent="0.25">
      <c r="D638" s="13"/>
    </row>
    <row r="639" spans="4:4" x14ac:dyDescent="0.25">
      <c r="D639" s="13"/>
    </row>
    <row r="640" spans="4:4" x14ac:dyDescent="0.25">
      <c r="D640" s="13"/>
    </row>
    <row r="641" spans="4:4" x14ac:dyDescent="0.25">
      <c r="D641" s="13"/>
    </row>
    <row r="642" spans="4:4" x14ac:dyDescent="0.25">
      <c r="D642" s="13"/>
    </row>
    <row r="643" spans="4:4" x14ac:dyDescent="0.25">
      <c r="D643" s="13"/>
    </row>
    <row r="644" spans="4:4" x14ac:dyDescent="0.25">
      <c r="D644" s="13"/>
    </row>
    <row r="645" spans="4:4" x14ac:dyDescent="0.25">
      <c r="D645" s="13"/>
    </row>
    <row r="646" spans="4:4" x14ac:dyDescent="0.25">
      <c r="D646" s="13"/>
    </row>
    <row r="647" spans="4:4" x14ac:dyDescent="0.25">
      <c r="D647" s="13"/>
    </row>
    <row r="648" spans="4:4" x14ac:dyDescent="0.25">
      <c r="D648" s="13"/>
    </row>
    <row r="649" spans="4:4" x14ac:dyDescent="0.25">
      <c r="D649" s="13"/>
    </row>
    <row r="650" spans="4:4" x14ac:dyDescent="0.25">
      <c r="D650" s="13"/>
    </row>
    <row r="651" spans="4:4" x14ac:dyDescent="0.25">
      <c r="D651" s="13"/>
    </row>
    <row r="652" spans="4:4" x14ac:dyDescent="0.25">
      <c r="D652" s="13"/>
    </row>
    <row r="653" spans="4:4" x14ac:dyDescent="0.25">
      <c r="D653" s="13"/>
    </row>
    <row r="654" spans="4:4" x14ac:dyDescent="0.25">
      <c r="D654" s="13"/>
    </row>
    <row r="655" spans="4:4" x14ac:dyDescent="0.25">
      <c r="D655" s="13"/>
    </row>
    <row r="656" spans="4:4" x14ac:dyDescent="0.25">
      <c r="D656" s="13"/>
    </row>
    <row r="657" spans="4:4" x14ac:dyDescent="0.25">
      <c r="D657" s="13"/>
    </row>
    <row r="658" spans="4:4" x14ac:dyDescent="0.25">
      <c r="D658" s="13"/>
    </row>
    <row r="659" spans="4:4" x14ac:dyDescent="0.25">
      <c r="D659" s="13"/>
    </row>
    <row r="660" spans="4:4" x14ac:dyDescent="0.25">
      <c r="D660" s="13"/>
    </row>
    <row r="661" spans="4:4" x14ac:dyDescent="0.25">
      <c r="D661" s="13"/>
    </row>
    <row r="662" spans="4:4" x14ac:dyDescent="0.25">
      <c r="D662" s="13"/>
    </row>
    <row r="663" spans="4:4" x14ac:dyDescent="0.25">
      <c r="D663" s="13"/>
    </row>
    <row r="664" spans="4:4" x14ac:dyDescent="0.25">
      <c r="D664" s="13"/>
    </row>
    <row r="665" spans="4:4" x14ac:dyDescent="0.25">
      <c r="D665" s="13"/>
    </row>
    <row r="666" spans="4:4" x14ac:dyDescent="0.25">
      <c r="D666" s="13"/>
    </row>
    <row r="667" spans="4:4" x14ac:dyDescent="0.25">
      <c r="D667" s="13"/>
    </row>
    <row r="668" spans="4:4" x14ac:dyDescent="0.25">
      <c r="D668" s="13"/>
    </row>
    <row r="669" spans="4:4" x14ac:dyDescent="0.25">
      <c r="D669" s="13"/>
    </row>
    <row r="670" spans="4:4" x14ac:dyDescent="0.25">
      <c r="D670" s="13"/>
    </row>
    <row r="671" spans="4:4" x14ac:dyDescent="0.25">
      <c r="D671" s="13"/>
    </row>
    <row r="672" spans="4:4" x14ac:dyDescent="0.25">
      <c r="D672" s="13"/>
    </row>
    <row r="673" spans="4:4" x14ac:dyDescent="0.25">
      <c r="D673" s="13"/>
    </row>
    <row r="674" spans="4:4" x14ac:dyDescent="0.25">
      <c r="D674" s="13"/>
    </row>
    <row r="675" spans="4:4" x14ac:dyDescent="0.25">
      <c r="D675" s="13"/>
    </row>
    <row r="676" spans="4:4" x14ac:dyDescent="0.25">
      <c r="D676" s="13"/>
    </row>
    <row r="677" spans="4:4" x14ac:dyDescent="0.25">
      <c r="D677" s="13"/>
    </row>
    <row r="678" spans="4:4" x14ac:dyDescent="0.25">
      <c r="D678" s="13"/>
    </row>
    <row r="679" spans="4:4" x14ac:dyDescent="0.25">
      <c r="D679" s="13"/>
    </row>
    <row r="680" spans="4:4" x14ac:dyDescent="0.25">
      <c r="D680" s="13"/>
    </row>
    <row r="681" spans="4:4" x14ac:dyDescent="0.25">
      <c r="D681" s="13"/>
    </row>
    <row r="682" spans="4:4" x14ac:dyDescent="0.25">
      <c r="D682" s="13"/>
    </row>
    <row r="683" spans="4:4" x14ac:dyDescent="0.25">
      <c r="D683" s="13"/>
    </row>
    <row r="684" spans="4:4" x14ac:dyDescent="0.25">
      <c r="D684" s="13"/>
    </row>
    <row r="685" spans="4:4" x14ac:dyDescent="0.25">
      <c r="D685" s="13"/>
    </row>
    <row r="686" spans="4:4" x14ac:dyDescent="0.25">
      <c r="D686" s="13"/>
    </row>
    <row r="687" spans="4:4" x14ac:dyDescent="0.25">
      <c r="D687" s="13"/>
    </row>
    <row r="688" spans="4:4" x14ac:dyDescent="0.25">
      <c r="D688" s="13"/>
    </row>
    <row r="689" spans="4:4" x14ac:dyDescent="0.25">
      <c r="D689" s="13"/>
    </row>
    <row r="690" spans="4:4" x14ac:dyDescent="0.25">
      <c r="D690" s="13"/>
    </row>
    <row r="691" spans="4:4" x14ac:dyDescent="0.25">
      <c r="D691" s="13"/>
    </row>
    <row r="692" spans="4:4" x14ac:dyDescent="0.25">
      <c r="D692" s="13"/>
    </row>
    <row r="693" spans="4:4" x14ac:dyDescent="0.25">
      <c r="D693" s="13"/>
    </row>
    <row r="694" spans="4:4" x14ac:dyDescent="0.25">
      <c r="D694" s="13"/>
    </row>
    <row r="695" spans="4:4" x14ac:dyDescent="0.25">
      <c r="D695" s="13"/>
    </row>
    <row r="696" spans="4:4" x14ac:dyDescent="0.25">
      <c r="D696" s="13"/>
    </row>
    <row r="697" spans="4:4" x14ac:dyDescent="0.25">
      <c r="D697" s="13"/>
    </row>
    <row r="698" spans="4:4" x14ac:dyDescent="0.25">
      <c r="D698" s="13"/>
    </row>
    <row r="699" spans="4:4" x14ac:dyDescent="0.25">
      <c r="D699" s="13"/>
    </row>
    <row r="700" spans="4:4" x14ac:dyDescent="0.25">
      <c r="D700" s="13"/>
    </row>
    <row r="701" spans="4:4" x14ac:dyDescent="0.25">
      <c r="D701" s="13"/>
    </row>
    <row r="702" spans="4:4" x14ac:dyDescent="0.25">
      <c r="D702" s="13"/>
    </row>
    <row r="703" spans="4:4" x14ac:dyDescent="0.25">
      <c r="D703" s="13"/>
    </row>
    <row r="704" spans="4:4" x14ac:dyDescent="0.25">
      <c r="D704" s="13"/>
    </row>
    <row r="705" spans="4:4" x14ac:dyDescent="0.25">
      <c r="D705" s="13"/>
    </row>
    <row r="706" spans="4:4" x14ac:dyDescent="0.25">
      <c r="D706" s="13"/>
    </row>
    <row r="707" spans="4:4" x14ac:dyDescent="0.25">
      <c r="D707" s="13"/>
    </row>
    <row r="708" spans="4:4" x14ac:dyDescent="0.25">
      <c r="D708" s="13"/>
    </row>
    <row r="709" spans="4:4" x14ac:dyDescent="0.25">
      <c r="D709" s="13"/>
    </row>
    <row r="710" spans="4:4" x14ac:dyDescent="0.25">
      <c r="D710" s="13"/>
    </row>
    <row r="711" spans="4:4" x14ac:dyDescent="0.25">
      <c r="D711" s="13"/>
    </row>
    <row r="712" spans="4:4" x14ac:dyDescent="0.25">
      <c r="D712" s="13"/>
    </row>
    <row r="713" spans="4:4" x14ac:dyDescent="0.25">
      <c r="D713" s="13"/>
    </row>
    <row r="714" spans="4:4" x14ac:dyDescent="0.25">
      <c r="D714" s="13"/>
    </row>
    <row r="715" spans="4:4" x14ac:dyDescent="0.25">
      <c r="D715" s="13"/>
    </row>
    <row r="716" spans="4:4" x14ac:dyDescent="0.25">
      <c r="D716" s="13"/>
    </row>
    <row r="717" spans="4:4" x14ac:dyDescent="0.25">
      <c r="D717" s="13"/>
    </row>
    <row r="718" spans="4:4" x14ac:dyDescent="0.25">
      <c r="D718" s="13"/>
    </row>
    <row r="719" spans="4:4" x14ac:dyDescent="0.25">
      <c r="D719" s="13"/>
    </row>
    <row r="720" spans="4:4" x14ac:dyDescent="0.25">
      <c r="D720" s="13"/>
    </row>
    <row r="721" spans="4:4" x14ac:dyDescent="0.25">
      <c r="D721" s="13"/>
    </row>
    <row r="722" spans="4:4" x14ac:dyDescent="0.25">
      <c r="D722" s="13"/>
    </row>
    <row r="723" spans="4:4" x14ac:dyDescent="0.25">
      <c r="D723" s="13"/>
    </row>
    <row r="724" spans="4:4" x14ac:dyDescent="0.25">
      <c r="D724" s="13"/>
    </row>
    <row r="725" spans="4:4" x14ac:dyDescent="0.25">
      <c r="D725" s="13"/>
    </row>
    <row r="726" spans="4:4" x14ac:dyDescent="0.25">
      <c r="D726" s="13"/>
    </row>
    <row r="727" spans="4:4" x14ac:dyDescent="0.25">
      <c r="D727" s="13"/>
    </row>
    <row r="728" spans="4:4" x14ac:dyDescent="0.25">
      <c r="D728" s="13"/>
    </row>
    <row r="729" spans="4:4" x14ac:dyDescent="0.25">
      <c r="D729" s="13"/>
    </row>
    <row r="730" spans="4:4" x14ac:dyDescent="0.25">
      <c r="D730" s="13"/>
    </row>
    <row r="731" spans="4:4" x14ac:dyDescent="0.25">
      <c r="D731" s="13"/>
    </row>
    <row r="732" spans="4:4" x14ac:dyDescent="0.25">
      <c r="D732" s="13"/>
    </row>
    <row r="733" spans="4:4" x14ac:dyDescent="0.25">
      <c r="D733" s="13"/>
    </row>
    <row r="734" spans="4:4" x14ac:dyDescent="0.25">
      <c r="D734" s="13"/>
    </row>
    <row r="735" spans="4:4" x14ac:dyDescent="0.25">
      <c r="D735" s="13"/>
    </row>
    <row r="736" spans="4:4" x14ac:dyDescent="0.25">
      <c r="D736" s="13"/>
    </row>
    <row r="737" spans="4:4" x14ac:dyDescent="0.25">
      <c r="D737" s="13"/>
    </row>
    <row r="738" spans="4:4" x14ac:dyDescent="0.25">
      <c r="D738" s="13"/>
    </row>
    <row r="739" spans="4:4" x14ac:dyDescent="0.25">
      <c r="D739" s="13"/>
    </row>
    <row r="740" spans="4:4" x14ac:dyDescent="0.25">
      <c r="D740" s="13"/>
    </row>
    <row r="741" spans="4:4" x14ac:dyDescent="0.25">
      <c r="D741" s="13"/>
    </row>
    <row r="742" spans="4:4" x14ac:dyDescent="0.25">
      <c r="D742" s="13"/>
    </row>
    <row r="743" spans="4:4" x14ac:dyDescent="0.25">
      <c r="D743" s="13"/>
    </row>
    <row r="744" spans="4:4" x14ac:dyDescent="0.25">
      <c r="D744" s="13"/>
    </row>
    <row r="745" spans="4:4" x14ac:dyDescent="0.25">
      <c r="D745" s="13"/>
    </row>
    <row r="746" spans="4:4" x14ac:dyDescent="0.25">
      <c r="D746" s="13"/>
    </row>
    <row r="747" spans="4:4" x14ac:dyDescent="0.25">
      <c r="D747" s="13"/>
    </row>
    <row r="748" spans="4:4" x14ac:dyDescent="0.25">
      <c r="D748" s="13"/>
    </row>
    <row r="749" spans="4:4" x14ac:dyDescent="0.25">
      <c r="D749" s="13"/>
    </row>
    <row r="750" spans="4:4" x14ac:dyDescent="0.25">
      <c r="D750" s="13"/>
    </row>
    <row r="751" spans="4:4" x14ac:dyDescent="0.25">
      <c r="D751" s="13"/>
    </row>
    <row r="752" spans="4:4" x14ac:dyDescent="0.25">
      <c r="D752" s="13"/>
    </row>
    <row r="753" spans="4:4" x14ac:dyDescent="0.25">
      <c r="D753" s="13"/>
    </row>
    <row r="754" spans="4:4" x14ac:dyDescent="0.25">
      <c r="D754" s="13"/>
    </row>
    <row r="755" spans="4:4" x14ac:dyDescent="0.25">
      <c r="D755" s="13"/>
    </row>
    <row r="756" spans="4:4" x14ac:dyDescent="0.25">
      <c r="D756" s="13"/>
    </row>
    <row r="757" spans="4:4" x14ac:dyDescent="0.25">
      <c r="D757" s="13"/>
    </row>
    <row r="758" spans="4:4" x14ac:dyDescent="0.25">
      <c r="D758" s="13"/>
    </row>
    <row r="759" spans="4:4" x14ac:dyDescent="0.25">
      <c r="D759" s="13"/>
    </row>
    <row r="760" spans="4:4" x14ac:dyDescent="0.25">
      <c r="D760" s="13"/>
    </row>
    <row r="761" spans="4:4" x14ac:dyDescent="0.25">
      <c r="D761" s="13"/>
    </row>
    <row r="762" spans="4:4" x14ac:dyDescent="0.25">
      <c r="D762" s="13"/>
    </row>
    <row r="763" spans="4:4" x14ac:dyDescent="0.25">
      <c r="D763" s="13"/>
    </row>
    <row r="764" spans="4:4" x14ac:dyDescent="0.25">
      <c r="D764" s="13"/>
    </row>
    <row r="765" spans="4:4" x14ac:dyDescent="0.25">
      <c r="D765" s="13"/>
    </row>
    <row r="766" spans="4:4" x14ac:dyDescent="0.25">
      <c r="D766" s="13"/>
    </row>
    <row r="767" spans="4:4" x14ac:dyDescent="0.25">
      <c r="D767" s="13"/>
    </row>
    <row r="768" spans="4:4" x14ac:dyDescent="0.25">
      <c r="D768" s="13"/>
    </row>
    <row r="769" spans="4:4" x14ac:dyDescent="0.25">
      <c r="D769" s="13"/>
    </row>
    <row r="770" spans="4:4" x14ac:dyDescent="0.25">
      <c r="D770" s="13"/>
    </row>
    <row r="771" spans="4:4" x14ac:dyDescent="0.25">
      <c r="D771" s="13"/>
    </row>
    <row r="772" spans="4:4" x14ac:dyDescent="0.25">
      <c r="D772" s="13"/>
    </row>
    <row r="773" spans="4:4" x14ac:dyDescent="0.25">
      <c r="D773" s="13"/>
    </row>
    <row r="774" spans="4:4" x14ac:dyDescent="0.25">
      <c r="D774" s="13"/>
    </row>
    <row r="775" spans="4:4" x14ac:dyDescent="0.25">
      <c r="D775" s="13"/>
    </row>
    <row r="776" spans="4:4" x14ac:dyDescent="0.25">
      <c r="D776" s="13"/>
    </row>
    <row r="777" spans="4:4" x14ac:dyDescent="0.25">
      <c r="D777" s="13"/>
    </row>
    <row r="778" spans="4:4" x14ac:dyDescent="0.25">
      <c r="D778" s="13"/>
    </row>
    <row r="779" spans="4:4" x14ac:dyDescent="0.25">
      <c r="D779" s="13"/>
    </row>
    <row r="780" spans="4:4" x14ac:dyDescent="0.25">
      <c r="D780" s="13"/>
    </row>
    <row r="781" spans="4:4" x14ac:dyDescent="0.25">
      <c r="D781" s="13"/>
    </row>
    <row r="782" spans="4:4" x14ac:dyDescent="0.25">
      <c r="D782" s="13"/>
    </row>
    <row r="783" spans="4:4" x14ac:dyDescent="0.25">
      <c r="D783" s="13"/>
    </row>
    <row r="784" spans="4:4" x14ac:dyDescent="0.25">
      <c r="D784" s="13"/>
    </row>
    <row r="785" spans="4:4" x14ac:dyDescent="0.25">
      <c r="D785" s="13"/>
    </row>
    <row r="786" spans="4:4" x14ac:dyDescent="0.25">
      <c r="D786" s="13"/>
    </row>
    <row r="787" spans="4:4" x14ac:dyDescent="0.25">
      <c r="D787" s="13"/>
    </row>
    <row r="788" spans="4:4" x14ac:dyDescent="0.25">
      <c r="D788" s="13"/>
    </row>
    <row r="789" spans="4:4" x14ac:dyDescent="0.25">
      <c r="D789" s="13"/>
    </row>
    <row r="790" spans="4:4" x14ac:dyDescent="0.25">
      <c r="D790" s="13"/>
    </row>
    <row r="791" spans="4:4" x14ac:dyDescent="0.25">
      <c r="D791" s="13"/>
    </row>
    <row r="792" spans="4:4" x14ac:dyDescent="0.25">
      <c r="D792" s="13"/>
    </row>
    <row r="793" spans="4:4" x14ac:dyDescent="0.25">
      <c r="D793" s="13"/>
    </row>
    <row r="794" spans="4:4" x14ac:dyDescent="0.25">
      <c r="D794" s="13"/>
    </row>
    <row r="795" spans="4:4" x14ac:dyDescent="0.25">
      <c r="D795" s="13"/>
    </row>
    <row r="796" spans="4:4" x14ac:dyDescent="0.25">
      <c r="D796" s="13"/>
    </row>
    <row r="797" spans="4:4" x14ac:dyDescent="0.25">
      <c r="D797" s="13"/>
    </row>
    <row r="798" spans="4:4" x14ac:dyDescent="0.25">
      <c r="D798" s="13"/>
    </row>
    <row r="799" spans="4:4" x14ac:dyDescent="0.25">
      <c r="D799" s="13"/>
    </row>
    <row r="800" spans="4:4" x14ac:dyDescent="0.25">
      <c r="D800" s="13"/>
    </row>
    <row r="801" spans="4:4" x14ac:dyDescent="0.25">
      <c r="D801" s="13"/>
    </row>
    <row r="802" spans="4:4" x14ac:dyDescent="0.25">
      <c r="D802" s="13"/>
    </row>
    <row r="803" spans="4:4" x14ac:dyDescent="0.25">
      <c r="D803" s="13"/>
    </row>
    <row r="804" spans="4:4" x14ac:dyDescent="0.25">
      <c r="D804" s="13"/>
    </row>
    <row r="805" spans="4:4" x14ac:dyDescent="0.25">
      <c r="D805" s="13"/>
    </row>
    <row r="806" spans="4:4" x14ac:dyDescent="0.25">
      <c r="D806" s="13"/>
    </row>
    <row r="807" spans="4:4" x14ac:dyDescent="0.25">
      <c r="D807" s="13"/>
    </row>
    <row r="808" spans="4:4" x14ac:dyDescent="0.25">
      <c r="D808" s="13"/>
    </row>
    <row r="809" spans="4:4" x14ac:dyDescent="0.25">
      <c r="D809" s="13"/>
    </row>
    <row r="810" spans="4:4" x14ac:dyDescent="0.25">
      <c r="D810" s="13"/>
    </row>
    <row r="811" spans="4:4" x14ac:dyDescent="0.25">
      <c r="D811" s="13"/>
    </row>
    <row r="812" spans="4:4" x14ac:dyDescent="0.25">
      <c r="D812" s="13"/>
    </row>
    <row r="813" spans="4:4" x14ac:dyDescent="0.25">
      <c r="D813" s="13"/>
    </row>
    <row r="814" spans="4:4" x14ac:dyDescent="0.25">
      <c r="D814" s="13"/>
    </row>
    <row r="815" spans="4:4" x14ac:dyDescent="0.25">
      <c r="D815" s="13"/>
    </row>
    <row r="816" spans="4:4" x14ac:dyDescent="0.25">
      <c r="D816" s="13"/>
    </row>
    <row r="817" spans="4:4" x14ac:dyDescent="0.25">
      <c r="D817" s="13"/>
    </row>
    <row r="818" spans="4:4" x14ac:dyDescent="0.25">
      <c r="D818" s="13"/>
    </row>
    <row r="819" spans="4:4" x14ac:dyDescent="0.25">
      <c r="D819" s="13"/>
    </row>
    <row r="820" spans="4:4" x14ac:dyDescent="0.25">
      <c r="D820" s="13"/>
    </row>
    <row r="821" spans="4:4" x14ac:dyDescent="0.25">
      <c r="D821" s="13"/>
    </row>
    <row r="822" spans="4:4" x14ac:dyDescent="0.25">
      <c r="D822" s="13"/>
    </row>
    <row r="823" spans="4:4" x14ac:dyDescent="0.25">
      <c r="D823" s="13"/>
    </row>
    <row r="824" spans="4:4" x14ac:dyDescent="0.25">
      <c r="D824" s="13"/>
    </row>
    <row r="825" spans="4:4" x14ac:dyDescent="0.25">
      <c r="D825" s="13"/>
    </row>
    <row r="826" spans="4:4" x14ac:dyDescent="0.25">
      <c r="D826" s="13"/>
    </row>
    <row r="827" spans="4:4" x14ac:dyDescent="0.25">
      <c r="D827" s="13"/>
    </row>
    <row r="828" spans="4:4" x14ac:dyDescent="0.25">
      <c r="D828" s="13"/>
    </row>
    <row r="829" spans="4:4" x14ac:dyDescent="0.25">
      <c r="D829" s="13"/>
    </row>
    <row r="830" spans="4:4" x14ac:dyDescent="0.25">
      <c r="D830" s="13"/>
    </row>
    <row r="831" spans="4:4" x14ac:dyDescent="0.25">
      <c r="D831" s="13"/>
    </row>
    <row r="832" spans="4:4" x14ac:dyDescent="0.25">
      <c r="D832" s="13"/>
    </row>
    <row r="833" spans="4:4" x14ac:dyDescent="0.25">
      <c r="D833" s="13"/>
    </row>
    <row r="834" spans="4:4" x14ac:dyDescent="0.25">
      <c r="D834" s="13"/>
    </row>
    <row r="835" spans="4:4" x14ac:dyDescent="0.25">
      <c r="D835" s="13"/>
    </row>
    <row r="836" spans="4:4" x14ac:dyDescent="0.25">
      <c r="D836" s="13"/>
    </row>
    <row r="837" spans="4:4" x14ac:dyDescent="0.25">
      <c r="D837" s="13"/>
    </row>
    <row r="838" spans="4:4" x14ac:dyDescent="0.25">
      <c r="D838" s="13"/>
    </row>
    <row r="839" spans="4:4" x14ac:dyDescent="0.25">
      <c r="D839" s="13"/>
    </row>
    <row r="840" spans="4:4" x14ac:dyDescent="0.25">
      <c r="D840" s="13"/>
    </row>
    <row r="841" spans="4:4" x14ac:dyDescent="0.25">
      <c r="D841" s="13"/>
    </row>
    <row r="842" spans="4:4" x14ac:dyDescent="0.25">
      <c r="D842" s="13"/>
    </row>
    <row r="843" spans="4:4" x14ac:dyDescent="0.25">
      <c r="D843" s="13"/>
    </row>
    <row r="844" spans="4:4" x14ac:dyDescent="0.25">
      <c r="D844" s="13"/>
    </row>
    <row r="845" spans="4:4" x14ac:dyDescent="0.25">
      <c r="D845" s="13"/>
    </row>
    <row r="846" spans="4:4" x14ac:dyDescent="0.25">
      <c r="D846" s="13"/>
    </row>
    <row r="847" spans="4:4" x14ac:dyDescent="0.25">
      <c r="D847" s="13"/>
    </row>
    <row r="848" spans="4:4" x14ac:dyDescent="0.25">
      <c r="D848" s="13"/>
    </row>
    <row r="849" spans="4:4" x14ac:dyDescent="0.25">
      <c r="D849" s="13"/>
    </row>
    <row r="850" spans="4:4" x14ac:dyDescent="0.25">
      <c r="D850" s="13"/>
    </row>
    <row r="851" spans="4:4" x14ac:dyDescent="0.25">
      <c r="D851" s="13"/>
    </row>
    <row r="852" spans="4:4" x14ac:dyDescent="0.25">
      <c r="D852" s="13"/>
    </row>
    <row r="853" spans="4:4" x14ac:dyDescent="0.25">
      <c r="D853" s="13"/>
    </row>
    <row r="854" spans="4:4" x14ac:dyDescent="0.25">
      <c r="D854" s="13"/>
    </row>
    <row r="855" spans="4:4" x14ac:dyDescent="0.25">
      <c r="D855" s="13"/>
    </row>
    <row r="856" spans="4:4" x14ac:dyDescent="0.25">
      <c r="D856" s="13"/>
    </row>
    <row r="857" spans="4:4" x14ac:dyDescent="0.25">
      <c r="D857" s="13"/>
    </row>
    <row r="858" spans="4:4" x14ac:dyDescent="0.25">
      <c r="D858" s="13"/>
    </row>
    <row r="859" spans="4:4" x14ac:dyDescent="0.25">
      <c r="D859" s="13"/>
    </row>
    <row r="860" spans="4:4" x14ac:dyDescent="0.25">
      <c r="D860" s="13"/>
    </row>
    <row r="861" spans="4:4" x14ac:dyDescent="0.25">
      <c r="D861" s="13"/>
    </row>
    <row r="862" spans="4:4" x14ac:dyDescent="0.25">
      <c r="D862" s="13"/>
    </row>
    <row r="863" spans="4:4" x14ac:dyDescent="0.25">
      <c r="D863" s="13"/>
    </row>
    <row r="864" spans="4:4" x14ac:dyDescent="0.25">
      <c r="D864" s="13"/>
    </row>
    <row r="865" spans="4:4" x14ac:dyDescent="0.25">
      <c r="D865" s="13"/>
    </row>
    <row r="866" spans="4:4" x14ac:dyDescent="0.25">
      <c r="D866" s="13"/>
    </row>
    <row r="867" spans="4:4" x14ac:dyDescent="0.25">
      <c r="D867" s="13"/>
    </row>
    <row r="868" spans="4:4" x14ac:dyDescent="0.25">
      <c r="D868" s="13"/>
    </row>
    <row r="869" spans="4:4" x14ac:dyDescent="0.25">
      <c r="D869" s="13"/>
    </row>
    <row r="870" spans="4:4" x14ac:dyDescent="0.25">
      <c r="D870" s="13"/>
    </row>
    <row r="871" spans="4:4" x14ac:dyDescent="0.25">
      <c r="D871" s="13"/>
    </row>
    <row r="872" spans="4:4" x14ac:dyDescent="0.25">
      <c r="D872" s="13"/>
    </row>
    <row r="873" spans="4:4" x14ac:dyDescent="0.25">
      <c r="D873" s="13"/>
    </row>
    <row r="874" spans="4:4" x14ac:dyDescent="0.25">
      <c r="D874" s="13"/>
    </row>
    <row r="875" spans="4:4" x14ac:dyDescent="0.25">
      <c r="D875" s="13"/>
    </row>
    <row r="876" spans="4:4" x14ac:dyDescent="0.25">
      <c r="D876" s="13"/>
    </row>
    <row r="877" spans="4:4" x14ac:dyDescent="0.25">
      <c r="D877" s="13"/>
    </row>
    <row r="878" spans="4:4" x14ac:dyDescent="0.25">
      <c r="D878" s="13"/>
    </row>
    <row r="879" spans="4:4" x14ac:dyDescent="0.25">
      <c r="D879" s="13"/>
    </row>
    <row r="880" spans="4:4" x14ac:dyDescent="0.25">
      <c r="D880" s="13"/>
    </row>
    <row r="881" spans="4:4" x14ac:dyDescent="0.25">
      <c r="D881" s="13"/>
    </row>
    <row r="882" spans="4:4" x14ac:dyDescent="0.25">
      <c r="D882" s="13"/>
    </row>
    <row r="883" spans="4:4" x14ac:dyDescent="0.25">
      <c r="D883" s="13"/>
    </row>
    <row r="884" spans="4:4" x14ac:dyDescent="0.25">
      <c r="D884" s="13"/>
    </row>
    <row r="885" spans="4:4" x14ac:dyDescent="0.25">
      <c r="D885" s="13"/>
    </row>
    <row r="886" spans="4:4" x14ac:dyDescent="0.25">
      <c r="D886" s="13"/>
    </row>
    <row r="887" spans="4:4" x14ac:dyDescent="0.25">
      <c r="D887" s="13"/>
    </row>
    <row r="888" spans="4:4" x14ac:dyDescent="0.25">
      <c r="D888" s="13"/>
    </row>
    <row r="889" spans="4:4" x14ac:dyDescent="0.25">
      <c r="D889" s="13"/>
    </row>
    <row r="890" spans="4:4" x14ac:dyDescent="0.25">
      <c r="D890" s="13"/>
    </row>
    <row r="891" spans="4:4" x14ac:dyDescent="0.25">
      <c r="D891" s="13"/>
    </row>
    <row r="892" spans="4:4" x14ac:dyDescent="0.25">
      <c r="D892" s="13"/>
    </row>
    <row r="893" spans="4:4" x14ac:dyDescent="0.25">
      <c r="D893" s="13"/>
    </row>
    <row r="894" spans="4:4" x14ac:dyDescent="0.25">
      <c r="D894" s="13"/>
    </row>
    <row r="895" spans="4:4" x14ac:dyDescent="0.25">
      <c r="D895" s="13"/>
    </row>
    <row r="896" spans="4:4" x14ac:dyDescent="0.25">
      <c r="D896" s="13"/>
    </row>
    <row r="897" spans="4:4" x14ac:dyDescent="0.25">
      <c r="D897" s="13"/>
    </row>
    <row r="898" spans="4:4" x14ac:dyDescent="0.25">
      <c r="D898" s="13"/>
    </row>
    <row r="899" spans="4:4" x14ac:dyDescent="0.25">
      <c r="D899" s="13"/>
    </row>
    <row r="900" spans="4:4" x14ac:dyDescent="0.25">
      <c r="D900" s="13"/>
    </row>
    <row r="901" spans="4:4" x14ac:dyDescent="0.25">
      <c r="D901" s="13"/>
    </row>
    <row r="902" spans="4:4" x14ac:dyDescent="0.25">
      <c r="D902" s="13"/>
    </row>
    <row r="903" spans="4:4" x14ac:dyDescent="0.25">
      <c r="D903" s="13"/>
    </row>
    <row r="904" spans="4:4" x14ac:dyDescent="0.25">
      <c r="D904" s="13"/>
    </row>
    <row r="905" spans="4:4" x14ac:dyDescent="0.25">
      <c r="D905" s="13"/>
    </row>
    <row r="906" spans="4:4" x14ac:dyDescent="0.25">
      <c r="D906" s="13"/>
    </row>
    <row r="907" spans="4:4" x14ac:dyDescent="0.25">
      <c r="D907" s="13"/>
    </row>
    <row r="908" spans="4:4" x14ac:dyDescent="0.25">
      <c r="D908" s="13"/>
    </row>
    <row r="909" spans="4:4" x14ac:dyDescent="0.25">
      <c r="D909" s="13"/>
    </row>
    <row r="910" spans="4:4" x14ac:dyDescent="0.25">
      <c r="D910" s="13"/>
    </row>
    <row r="911" spans="4:4" x14ac:dyDescent="0.25">
      <c r="D911" s="13"/>
    </row>
    <row r="912" spans="4:4" x14ac:dyDescent="0.25">
      <c r="D912" s="13"/>
    </row>
    <row r="913" spans="4:4" x14ac:dyDescent="0.25">
      <c r="D913" s="13"/>
    </row>
    <row r="914" spans="4:4" x14ac:dyDescent="0.25">
      <c r="D914" s="13"/>
    </row>
    <row r="915" spans="4:4" x14ac:dyDescent="0.25">
      <c r="D915" s="13"/>
    </row>
    <row r="916" spans="4:4" x14ac:dyDescent="0.25">
      <c r="D916" s="13"/>
    </row>
    <row r="917" spans="4:4" x14ac:dyDescent="0.25">
      <c r="D917" s="13"/>
    </row>
    <row r="918" spans="4:4" x14ac:dyDescent="0.25">
      <c r="D918" s="13"/>
    </row>
    <row r="919" spans="4:4" x14ac:dyDescent="0.25">
      <c r="D919" s="13"/>
    </row>
    <row r="920" spans="4:4" x14ac:dyDescent="0.25">
      <c r="D920" s="13"/>
    </row>
    <row r="921" spans="4:4" x14ac:dyDescent="0.25">
      <c r="D921" s="13"/>
    </row>
    <row r="922" spans="4:4" x14ac:dyDescent="0.25">
      <c r="D922" s="13"/>
    </row>
    <row r="923" spans="4:4" x14ac:dyDescent="0.25">
      <c r="D923" s="13"/>
    </row>
    <row r="924" spans="4:4" x14ac:dyDescent="0.25">
      <c r="D924" s="13"/>
    </row>
    <row r="925" spans="4:4" x14ac:dyDescent="0.25">
      <c r="D925" s="13"/>
    </row>
    <row r="926" spans="4:4" x14ac:dyDescent="0.25">
      <c r="D926" s="13"/>
    </row>
    <row r="927" spans="4:4" x14ac:dyDescent="0.25">
      <c r="D927" s="13"/>
    </row>
    <row r="928" spans="4:4" x14ac:dyDescent="0.25">
      <c r="D928" s="13"/>
    </row>
    <row r="929" spans="4:4" x14ac:dyDescent="0.25">
      <c r="D929" s="13"/>
    </row>
    <row r="930" spans="4:4" x14ac:dyDescent="0.25">
      <c r="D930" s="13"/>
    </row>
    <row r="931" spans="4:4" x14ac:dyDescent="0.25">
      <c r="D931" s="13"/>
    </row>
    <row r="932" spans="4:4" x14ac:dyDescent="0.25">
      <c r="D932" s="13"/>
    </row>
    <row r="933" spans="4:4" x14ac:dyDescent="0.25">
      <c r="D933" s="13"/>
    </row>
    <row r="934" spans="4:4" x14ac:dyDescent="0.25">
      <c r="D934" s="13"/>
    </row>
    <row r="935" spans="4:4" x14ac:dyDescent="0.25">
      <c r="D935" s="13"/>
    </row>
    <row r="936" spans="4:4" x14ac:dyDescent="0.25">
      <c r="D936" s="13"/>
    </row>
    <row r="937" spans="4:4" x14ac:dyDescent="0.25">
      <c r="D937" s="13"/>
    </row>
    <row r="938" spans="4:4" x14ac:dyDescent="0.25">
      <c r="D938" s="13"/>
    </row>
    <row r="939" spans="4:4" x14ac:dyDescent="0.25">
      <c r="D939" s="13"/>
    </row>
    <row r="940" spans="4:4" x14ac:dyDescent="0.25">
      <c r="D940" s="13"/>
    </row>
    <row r="941" spans="4:4" x14ac:dyDescent="0.25">
      <c r="D941" s="13"/>
    </row>
    <row r="942" spans="4:4" x14ac:dyDescent="0.25">
      <c r="D942" s="13"/>
    </row>
    <row r="943" spans="4:4" x14ac:dyDescent="0.25">
      <c r="D943" s="13"/>
    </row>
    <row r="944" spans="4:4" x14ac:dyDescent="0.25">
      <c r="D944" s="13"/>
    </row>
    <row r="945" spans="4:4" x14ac:dyDescent="0.25">
      <c r="D945" s="13"/>
    </row>
    <row r="946" spans="4:4" x14ac:dyDescent="0.25">
      <c r="D946" s="13"/>
    </row>
    <row r="947" spans="4:4" x14ac:dyDescent="0.25">
      <c r="D947" s="13"/>
    </row>
    <row r="948" spans="4:4" x14ac:dyDescent="0.25">
      <c r="D948" s="13"/>
    </row>
    <row r="949" spans="4:4" x14ac:dyDescent="0.25">
      <c r="D949" s="13"/>
    </row>
    <row r="950" spans="4:4" x14ac:dyDescent="0.25">
      <c r="D950" s="13"/>
    </row>
    <row r="951" spans="4:4" x14ac:dyDescent="0.25">
      <c r="D951" s="13"/>
    </row>
    <row r="952" spans="4:4" x14ac:dyDescent="0.25">
      <c r="D952" s="13"/>
    </row>
    <row r="953" spans="4:4" x14ac:dyDescent="0.25">
      <c r="D953" s="13"/>
    </row>
    <row r="954" spans="4:4" x14ac:dyDescent="0.25">
      <c r="D954" s="13"/>
    </row>
    <row r="955" spans="4:4" x14ac:dyDescent="0.25">
      <c r="D955" s="13"/>
    </row>
    <row r="956" spans="4:4" x14ac:dyDescent="0.25">
      <c r="D956" s="13"/>
    </row>
    <row r="957" spans="4:4" x14ac:dyDescent="0.25">
      <c r="D957" s="13"/>
    </row>
    <row r="958" spans="4:4" x14ac:dyDescent="0.25">
      <c r="D958" s="13"/>
    </row>
    <row r="959" spans="4:4" x14ac:dyDescent="0.25">
      <c r="D959" s="13"/>
    </row>
    <row r="960" spans="4:4" x14ac:dyDescent="0.25">
      <c r="D960" s="13"/>
    </row>
    <row r="961" spans="4:4" x14ac:dyDescent="0.25">
      <c r="D961" s="13"/>
    </row>
    <row r="962" spans="4:4" x14ac:dyDescent="0.25">
      <c r="D962" s="13"/>
    </row>
    <row r="963" spans="4:4" x14ac:dyDescent="0.25">
      <c r="D963" s="13"/>
    </row>
    <row r="964" spans="4:4" x14ac:dyDescent="0.25">
      <c r="D964" s="13"/>
    </row>
    <row r="965" spans="4:4" x14ac:dyDescent="0.25">
      <c r="D965" s="13"/>
    </row>
    <row r="966" spans="4:4" x14ac:dyDescent="0.25">
      <c r="D966" s="13"/>
    </row>
    <row r="967" spans="4:4" x14ac:dyDescent="0.25">
      <c r="D967" s="13"/>
    </row>
    <row r="968" spans="4:4" x14ac:dyDescent="0.25">
      <c r="D968" s="13"/>
    </row>
    <row r="969" spans="4:4" x14ac:dyDescent="0.25">
      <c r="D969" s="13"/>
    </row>
    <row r="970" spans="4:4" x14ac:dyDescent="0.25">
      <c r="D970" s="13"/>
    </row>
    <row r="971" spans="4:4" x14ac:dyDescent="0.25">
      <c r="D971" s="13"/>
    </row>
    <row r="972" spans="4:4" x14ac:dyDescent="0.25">
      <c r="D972" s="13"/>
    </row>
    <row r="973" spans="4:4" x14ac:dyDescent="0.25">
      <c r="D973" s="13"/>
    </row>
    <row r="974" spans="4:4" x14ac:dyDescent="0.25">
      <c r="D974" s="13"/>
    </row>
    <row r="975" spans="4:4" x14ac:dyDescent="0.25">
      <c r="D975" s="13"/>
    </row>
    <row r="976" spans="4:4" x14ac:dyDescent="0.25">
      <c r="D976" s="13"/>
    </row>
    <row r="977" spans="4:4" x14ac:dyDescent="0.25">
      <c r="D977" s="13"/>
    </row>
    <row r="978" spans="4:4" x14ac:dyDescent="0.25">
      <c r="D978" s="13"/>
    </row>
    <row r="979" spans="4:4" x14ac:dyDescent="0.25">
      <c r="D979" s="13"/>
    </row>
    <row r="980" spans="4:4" x14ac:dyDescent="0.25">
      <c r="D980" s="13"/>
    </row>
    <row r="981" spans="4:4" x14ac:dyDescent="0.25">
      <c r="D981" s="13"/>
    </row>
    <row r="982" spans="4:4" x14ac:dyDescent="0.25">
      <c r="D982" s="13"/>
    </row>
    <row r="983" spans="4:4" x14ac:dyDescent="0.25">
      <c r="D983" s="13"/>
    </row>
    <row r="984" spans="4:4" x14ac:dyDescent="0.25">
      <c r="D984" s="13"/>
    </row>
    <row r="985" spans="4:4" x14ac:dyDescent="0.25">
      <c r="D985" s="13"/>
    </row>
    <row r="986" spans="4:4" x14ac:dyDescent="0.25">
      <c r="D986" s="13"/>
    </row>
    <row r="987" spans="4:4" x14ac:dyDescent="0.25">
      <c r="D987" s="13"/>
    </row>
    <row r="988" spans="4:4" x14ac:dyDescent="0.25">
      <c r="D988" s="13"/>
    </row>
    <row r="989" spans="4:4" x14ac:dyDescent="0.25">
      <c r="D989" s="13"/>
    </row>
    <row r="990" spans="4:4" x14ac:dyDescent="0.25">
      <c r="D990" s="13"/>
    </row>
    <row r="991" spans="4:4" x14ac:dyDescent="0.25">
      <c r="D991" s="13"/>
    </row>
    <row r="992" spans="4:4" x14ac:dyDescent="0.25">
      <c r="D992" s="13"/>
    </row>
    <row r="993" spans="4:4" x14ac:dyDescent="0.25">
      <c r="D993" s="13"/>
    </row>
    <row r="994" spans="4:4" x14ac:dyDescent="0.25">
      <c r="D994" s="13"/>
    </row>
    <row r="995" spans="4:4" x14ac:dyDescent="0.25">
      <c r="D995" s="13"/>
    </row>
    <row r="996" spans="4:4" x14ac:dyDescent="0.25">
      <c r="D996" s="13"/>
    </row>
    <row r="997" spans="4:4" x14ac:dyDescent="0.25">
      <c r="D997" s="13"/>
    </row>
    <row r="998" spans="4:4" x14ac:dyDescent="0.25">
      <c r="D998" s="13"/>
    </row>
    <row r="999" spans="4:4" x14ac:dyDescent="0.25">
      <c r="D999" s="13"/>
    </row>
    <row r="1000" spans="4:4" x14ac:dyDescent="0.25">
      <c r="D1000" s="13"/>
    </row>
    <row r="1001" spans="4:4" x14ac:dyDescent="0.25">
      <c r="D1001" s="13"/>
    </row>
    <row r="1002" spans="4:4" x14ac:dyDescent="0.25">
      <c r="D1002" s="13"/>
    </row>
    <row r="1003" spans="4:4" x14ac:dyDescent="0.25">
      <c r="D1003" s="13"/>
    </row>
    <row r="1004" spans="4:4" x14ac:dyDescent="0.25">
      <c r="D1004" s="13"/>
    </row>
    <row r="1005" spans="4:4" x14ac:dyDescent="0.25">
      <c r="D1005" s="13"/>
    </row>
    <row r="1006" spans="4:4" x14ac:dyDescent="0.25">
      <c r="D1006" s="13"/>
    </row>
    <row r="1007" spans="4:4" x14ac:dyDescent="0.25">
      <c r="D1007" s="13"/>
    </row>
    <row r="1008" spans="4:4" x14ac:dyDescent="0.25">
      <c r="D1008" s="13"/>
    </row>
    <row r="1009" spans="4:4" x14ac:dyDescent="0.25">
      <c r="D1009" s="13"/>
    </row>
    <row r="1010" spans="4:4" x14ac:dyDescent="0.25">
      <c r="D1010" s="13"/>
    </row>
    <row r="1011" spans="4:4" x14ac:dyDescent="0.25">
      <c r="D1011" s="13"/>
    </row>
    <row r="1012" spans="4:4" x14ac:dyDescent="0.25">
      <c r="D1012" s="13"/>
    </row>
    <row r="1013" spans="4:4" x14ac:dyDescent="0.25">
      <c r="D1013" s="13"/>
    </row>
    <row r="1014" spans="4:4" x14ac:dyDescent="0.25">
      <c r="D1014" s="13"/>
    </row>
    <row r="1015" spans="4:4" x14ac:dyDescent="0.25">
      <c r="D1015" s="13"/>
    </row>
    <row r="1016" spans="4:4" x14ac:dyDescent="0.25">
      <c r="D1016" s="13"/>
    </row>
    <row r="1017" spans="4:4" x14ac:dyDescent="0.25">
      <c r="D1017" s="13"/>
    </row>
    <row r="1018" spans="4:4" x14ac:dyDescent="0.25">
      <c r="D1018" s="13"/>
    </row>
    <row r="1019" spans="4:4" x14ac:dyDescent="0.25">
      <c r="D1019" s="13"/>
    </row>
    <row r="1020" spans="4:4" x14ac:dyDescent="0.25">
      <c r="D1020" s="13"/>
    </row>
    <row r="1021" spans="4:4" x14ac:dyDescent="0.25">
      <c r="D1021" s="13"/>
    </row>
    <row r="1022" spans="4:4" x14ac:dyDescent="0.25">
      <c r="D1022" s="13"/>
    </row>
    <row r="1023" spans="4:4" x14ac:dyDescent="0.25">
      <c r="D1023" s="13"/>
    </row>
    <row r="1024" spans="4:4" x14ac:dyDescent="0.25">
      <c r="D1024" s="13"/>
    </row>
    <row r="1025" spans="4:4" x14ac:dyDescent="0.25">
      <c r="D1025" s="13"/>
    </row>
    <row r="1026" spans="4:4" x14ac:dyDescent="0.25">
      <c r="D1026" s="13"/>
    </row>
    <row r="1027" spans="4:4" x14ac:dyDescent="0.25">
      <c r="D1027" s="13"/>
    </row>
    <row r="1028" spans="4:4" x14ac:dyDescent="0.25">
      <c r="D1028" s="13"/>
    </row>
    <row r="1029" spans="4:4" x14ac:dyDescent="0.25">
      <c r="D1029" s="13"/>
    </row>
    <row r="1030" spans="4:4" x14ac:dyDescent="0.25">
      <c r="D1030" s="13"/>
    </row>
    <row r="1031" spans="4:4" x14ac:dyDescent="0.25">
      <c r="D1031" s="13"/>
    </row>
    <row r="1032" spans="4:4" x14ac:dyDescent="0.25">
      <c r="D1032" s="13"/>
    </row>
    <row r="1033" spans="4:4" x14ac:dyDescent="0.25">
      <c r="D1033" s="13"/>
    </row>
    <row r="1034" spans="4:4" x14ac:dyDescent="0.25">
      <c r="D1034" s="13"/>
    </row>
    <row r="1035" spans="4:4" x14ac:dyDescent="0.25">
      <c r="D1035" s="13"/>
    </row>
    <row r="1036" spans="4:4" x14ac:dyDescent="0.25">
      <c r="D1036" s="13"/>
    </row>
    <row r="1037" spans="4:4" x14ac:dyDescent="0.25">
      <c r="D1037" s="13"/>
    </row>
    <row r="1038" spans="4:4" x14ac:dyDescent="0.25">
      <c r="D1038" s="13"/>
    </row>
    <row r="1039" spans="4:4" x14ac:dyDescent="0.25">
      <c r="D1039" s="13"/>
    </row>
    <row r="1040" spans="4:4" x14ac:dyDescent="0.25">
      <c r="D1040" s="13"/>
    </row>
    <row r="1041" spans="4:4" x14ac:dyDescent="0.25">
      <c r="D1041" s="13"/>
    </row>
    <row r="1042" spans="4:4" x14ac:dyDescent="0.25">
      <c r="D1042" s="13"/>
    </row>
    <row r="1043" spans="4:4" x14ac:dyDescent="0.25">
      <c r="D1043" s="13"/>
    </row>
    <row r="1044" spans="4:4" x14ac:dyDescent="0.25">
      <c r="D1044" s="13"/>
    </row>
    <row r="1045" spans="4:4" x14ac:dyDescent="0.25">
      <c r="D1045" s="13"/>
    </row>
    <row r="1046" spans="4:4" x14ac:dyDescent="0.25">
      <c r="D1046" s="13"/>
    </row>
    <row r="1047" spans="4:4" x14ac:dyDescent="0.25">
      <c r="D1047" s="13"/>
    </row>
    <row r="1048" spans="4:4" x14ac:dyDescent="0.25">
      <c r="D1048" s="13"/>
    </row>
    <row r="1049" spans="4:4" x14ac:dyDescent="0.25">
      <c r="D1049" s="13"/>
    </row>
    <row r="1050" spans="4:4" x14ac:dyDescent="0.25">
      <c r="D1050" s="13"/>
    </row>
    <row r="1051" spans="4:4" x14ac:dyDescent="0.25">
      <c r="D1051" s="13"/>
    </row>
    <row r="1052" spans="4:4" x14ac:dyDescent="0.25">
      <c r="D1052" s="13"/>
    </row>
    <row r="1053" spans="4:4" x14ac:dyDescent="0.25">
      <c r="D1053" s="13"/>
    </row>
    <row r="1054" spans="4:4" x14ac:dyDescent="0.25">
      <c r="D1054" s="13"/>
    </row>
    <row r="1055" spans="4:4" x14ac:dyDescent="0.25">
      <c r="D1055" s="13"/>
    </row>
    <row r="1056" spans="4:4" x14ac:dyDescent="0.25">
      <c r="D1056" s="13"/>
    </row>
    <row r="1057" spans="4:4" x14ac:dyDescent="0.25">
      <c r="D1057" s="13"/>
    </row>
    <row r="1058" spans="4:4" x14ac:dyDescent="0.25">
      <c r="D1058" s="13"/>
    </row>
    <row r="1059" spans="4:4" x14ac:dyDescent="0.25">
      <c r="D1059" s="13"/>
    </row>
    <row r="1060" spans="4:4" x14ac:dyDescent="0.25">
      <c r="D1060" s="13"/>
    </row>
    <row r="1061" spans="4:4" x14ac:dyDescent="0.25">
      <c r="D1061" s="13"/>
    </row>
    <row r="1062" spans="4:4" x14ac:dyDescent="0.25">
      <c r="D1062" s="13"/>
    </row>
    <row r="1063" spans="4:4" x14ac:dyDescent="0.25">
      <c r="D1063" s="13"/>
    </row>
    <row r="1064" spans="4:4" x14ac:dyDescent="0.25">
      <c r="D1064" s="13"/>
    </row>
    <row r="1065" spans="4:4" x14ac:dyDescent="0.25">
      <c r="D1065" s="13"/>
    </row>
    <row r="1066" spans="4:4" x14ac:dyDescent="0.25">
      <c r="D1066" s="13"/>
    </row>
    <row r="1067" spans="4:4" x14ac:dyDescent="0.25">
      <c r="D1067" s="13"/>
    </row>
    <row r="1068" spans="4:4" x14ac:dyDescent="0.25">
      <c r="D1068" s="13"/>
    </row>
    <row r="1069" spans="4:4" x14ac:dyDescent="0.25">
      <c r="D1069" s="13"/>
    </row>
    <row r="1070" spans="4:4" x14ac:dyDescent="0.25">
      <c r="D1070" s="13"/>
    </row>
    <row r="1071" spans="4:4" x14ac:dyDescent="0.25">
      <c r="D1071" s="13"/>
    </row>
    <row r="1072" spans="4:4" x14ac:dyDescent="0.25">
      <c r="D1072" s="13"/>
    </row>
    <row r="1073" spans="4:4" x14ac:dyDescent="0.25">
      <c r="D1073" s="13"/>
    </row>
    <row r="1074" spans="4:4" x14ac:dyDescent="0.25">
      <c r="D1074" s="13"/>
    </row>
    <row r="1075" spans="4:4" x14ac:dyDescent="0.25">
      <c r="D1075" s="13"/>
    </row>
    <row r="1076" spans="4:4" x14ac:dyDescent="0.25">
      <c r="D1076" s="13"/>
    </row>
    <row r="1077" spans="4:4" x14ac:dyDescent="0.25">
      <c r="D1077" s="13"/>
    </row>
    <row r="1078" spans="4:4" x14ac:dyDescent="0.25">
      <c r="D1078" s="13"/>
    </row>
    <row r="1079" spans="4:4" x14ac:dyDescent="0.25">
      <c r="D1079" s="13"/>
    </row>
    <row r="1080" spans="4:4" x14ac:dyDescent="0.25">
      <c r="D1080" s="13"/>
    </row>
    <row r="1081" spans="4:4" x14ac:dyDescent="0.25">
      <c r="D1081" s="13"/>
    </row>
    <row r="1082" spans="4:4" x14ac:dyDescent="0.25">
      <c r="D1082" s="13"/>
    </row>
    <row r="1083" spans="4:4" x14ac:dyDescent="0.25">
      <c r="D1083" s="13"/>
    </row>
    <row r="1084" spans="4:4" x14ac:dyDescent="0.25">
      <c r="D1084" s="13"/>
    </row>
    <row r="1085" spans="4:4" x14ac:dyDescent="0.25">
      <c r="D1085" s="13"/>
    </row>
    <row r="1086" spans="4:4" x14ac:dyDescent="0.25">
      <c r="D1086" s="13"/>
    </row>
    <row r="1087" spans="4:4" x14ac:dyDescent="0.25">
      <c r="D1087" s="13"/>
    </row>
    <row r="1088" spans="4:4" x14ac:dyDescent="0.25">
      <c r="D1088" s="13"/>
    </row>
    <row r="1089" spans="4:4" x14ac:dyDescent="0.25">
      <c r="D1089" s="13"/>
    </row>
    <row r="1090" spans="4:4" x14ac:dyDescent="0.25">
      <c r="D1090" s="13"/>
    </row>
    <row r="1091" spans="4:4" x14ac:dyDescent="0.25">
      <c r="D1091" s="13"/>
    </row>
    <row r="1092" spans="4:4" x14ac:dyDescent="0.25">
      <c r="D1092" s="13"/>
    </row>
    <row r="1093" spans="4:4" x14ac:dyDescent="0.25">
      <c r="D1093" s="13"/>
    </row>
    <row r="1094" spans="4:4" x14ac:dyDescent="0.25">
      <c r="D1094" s="13"/>
    </row>
    <row r="1095" spans="4:4" x14ac:dyDescent="0.25">
      <c r="D1095" s="13"/>
    </row>
    <row r="1096" spans="4:4" x14ac:dyDescent="0.25">
      <c r="D1096" s="13"/>
    </row>
    <row r="1097" spans="4:4" x14ac:dyDescent="0.25">
      <c r="D1097" s="13"/>
    </row>
    <row r="1098" spans="4:4" x14ac:dyDescent="0.25">
      <c r="D1098" s="13"/>
    </row>
    <row r="1099" spans="4:4" x14ac:dyDescent="0.25">
      <c r="D1099" s="13"/>
    </row>
    <row r="1100" spans="4:4" x14ac:dyDescent="0.25">
      <c r="D1100" s="13"/>
    </row>
    <row r="1101" spans="4:4" x14ac:dyDescent="0.25">
      <c r="D1101" s="13"/>
    </row>
    <row r="1102" spans="4:4" x14ac:dyDescent="0.25">
      <c r="D1102" s="13"/>
    </row>
    <row r="1103" spans="4:4" x14ac:dyDescent="0.25">
      <c r="D1103" s="13"/>
    </row>
    <row r="1104" spans="4:4" x14ac:dyDescent="0.25">
      <c r="D1104" s="13"/>
    </row>
    <row r="1105" spans="4:4" x14ac:dyDescent="0.25">
      <c r="D1105" s="13"/>
    </row>
    <row r="1106" spans="4:4" x14ac:dyDescent="0.25">
      <c r="D1106" s="13"/>
    </row>
    <row r="1107" spans="4:4" x14ac:dyDescent="0.25">
      <c r="D1107" s="13"/>
    </row>
    <row r="1108" spans="4:4" x14ac:dyDescent="0.25">
      <c r="D1108" s="13"/>
    </row>
    <row r="1109" spans="4:4" x14ac:dyDescent="0.25">
      <c r="D1109" s="13"/>
    </row>
    <row r="1110" spans="4:4" x14ac:dyDescent="0.25">
      <c r="D1110" s="13"/>
    </row>
    <row r="1111" spans="4:4" x14ac:dyDescent="0.25">
      <c r="D1111" s="13"/>
    </row>
    <row r="1112" spans="4:4" x14ac:dyDescent="0.25">
      <c r="D1112" s="13"/>
    </row>
    <row r="1113" spans="4:4" x14ac:dyDescent="0.25">
      <c r="D1113" s="13"/>
    </row>
    <row r="1114" spans="4:4" x14ac:dyDescent="0.25">
      <c r="D1114" s="13"/>
    </row>
    <row r="1115" spans="4:4" x14ac:dyDescent="0.25">
      <c r="D1115" s="13"/>
    </row>
    <row r="1116" spans="4:4" x14ac:dyDescent="0.25">
      <c r="D1116" s="13"/>
    </row>
    <row r="1117" spans="4:4" x14ac:dyDescent="0.25">
      <c r="D1117" s="13"/>
    </row>
    <row r="1118" spans="4:4" x14ac:dyDescent="0.25">
      <c r="D1118" s="13"/>
    </row>
    <row r="1119" spans="4:4" x14ac:dyDescent="0.25">
      <c r="D1119" s="13"/>
    </row>
    <row r="1120" spans="4:4" x14ac:dyDescent="0.25">
      <c r="D1120" s="13"/>
    </row>
    <row r="1121" spans="4:4" x14ac:dyDescent="0.25">
      <c r="D1121" s="13"/>
    </row>
    <row r="1122" spans="4:4" x14ac:dyDescent="0.25">
      <c r="D1122" s="13"/>
    </row>
    <row r="1123" spans="4:4" x14ac:dyDescent="0.25">
      <c r="D1123" s="13"/>
    </row>
    <row r="1124" spans="4:4" x14ac:dyDescent="0.25">
      <c r="D1124" s="13"/>
    </row>
    <row r="1125" spans="4:4" x14ac:dyDescent="0.25">
      <c r="D1125" s="13"/>
    </row>
    <row r="1126" spans="4:4" x14ac:dyDescent="0.25">
      <c r="D1126" s="13"/>
    </row>
    <row r="1127" spans="4:4" x14ac:dyDescent="0.25">
      <c r="D1127" s="13"/>
    </row>
    <row r="1128" spans="4:4" x14ac:dyDescent="0.25">
      <c r="D1128" s="13"/>
    </row>
    <row r="1129" spans="4:4" x14ac:dyDescent="0.25">
      <c r="D1129" s="13"/>
    </row>
    <row r="1130" spans="4:4" x14ac:dyDescent="0.25">
      <c r="D1130" s="13"/>
    </row>
    <row r="1131" spans="4:4" x14ac:dyDescent="0.25">
      <c r="D1131" s="13"/>
    </row>
    <row r="1132" spans="4:4" x14ac:dyDescent="0.25">
      <c r="D1132" s="13"/>
    </row>
    <row r="1133" spans="4:4" x14ac:dyDescent="0.25">
      <c r="D1133" s="13"/>
    </row>
    <row r="1134" spans="4:4" x14ac:dyDescent="0.25">
      <c r="D1134" s="13"/>
    </row>
    <row r="1135" spans="4:4" x14ac:dyDescent="0.25">
      <c r="D1135" s="13"/>
    </row>
    <row r="1136" spans="4:4" x14ac:dyDescent="0.25">
      <c r="D1136" s="13"/>
    </row>
    <row r="1137" spans="4:4" x14ac:dyDescent="0.25">
      <c r="D1137" s="13"/>
    </row>
    <row r="1138" spans="4:4" x14ac:dyDescent="0.25">
      <c r="D1138" s="13"/>
    </row>
    <row r="1139" spans="4:4" x14ac:dyDescent="0.25">
      <c r="D1139" s="13"/>
    </row>
    <row r="1140" spans="4:4" x14ac:dyDescent="0.25">
      <c r="D1140" s="13"/>
    </row>
    <row r="1141" spans="4:4" x14ac:dyDescent="0.25">
      <c r="D1141" s="13"/>
    </row>
    <row r="1142" spans="4:4" x14ac:dyDescent="0.25">
      <c r="D1142" s="13"/>
    </row>
    <row r="1143" spans="4:4" x14ac:dyDescent="0.25">
      <c r="D1143" s="13"/>
    </row>
    <row r="1144" spans="4:4" x14ac:dyDescent="0.25">
      <c r="D1144" s="13"/>
    </row>
    <row r="1145" spans="4:4" x14ac:dyDescent="0.25">
      <c r="D1145" s="13"/>
    </row>
    <row r="1146" spans="4:4" x14ac:dyDescent="0.25">
      <c r="D1146" s="13"/>
    </row>
    <row r="1147" spans="4:4" x14ac:dyDescent="0.25">
      <c r="D1147" s="13"/>
    </row>
    <row r="1148" spans="4:4" x14ac:dyDescent="0.25">
      <c r="D1148" s="13"/>
    </row>
    <row r="1149" spans="4:4" x14ac:dyDescent="0.25">
      <c r="D1149" s="13"/>
    </row>
    <row r="1150" spans="4:4" x14ac:dyDescent="0.25">
      <c r="D1150" s="13"/>
    </row>
    <row r="1151" spans="4:4" x14ac:dyDescent="0.25">
      <c r="D1151" s="13"/>
    </row>
    <row r="1152" spans="4:4" x14ac:dyDescent="0.25">
      <c r="D1152" s="13"/>
    </row>
    <row r="1153" spans="4:4" x14ac:dyDescent="0.25">
      <c r="D1153" s="13"/>
    </row>
    <row r="1154" spans="4:4" x14ac:dyDescent="0.25">
      <c r="D1154" s="13"/>
    </row>
    <row r="1155" spans="4:4" x14ac:dyDescent="0.25">
      <c r="D1155" s="13"/>
    </row>
    <row r="1156" spans="4:4" x14ac:dyDescent="0.25">
      <c r="D1156" s="13"/>
    </row>
    <row r="1157" spans="4:4" x14ac:dyDescent="0.25">
      <c r="D1157" s="13"/>
    </row>
    <row r="1158" spans="4:4" x14ac:dyDescent="0.25">
      <c r="D1158" s="13"/>
    </row>
    <row r="1159" spans="4:4" x14ac:dyDescent="0.25">
      <c r="D1159" s="13"/>
    </row>
    <row r="1160" spans="4:4" x14ac:dyDescent="0.25">
      <c r="D1160" s="13"/>
    </row>
    <row r="1161" spans="4:4" x14ac:dyDescent="0.25">
      <c r="D1161" s="13"/>
    </row>
    <row r="1162" spans="4:4" x14ac:dyDescent="0.25">
      <c r="D1162" s="13"/>
    </row>
    <row r="1163" spans="4:4" x14ac:dyDescent="0.25">
      <c r="D1163" s="13"/>
    </row>
    <row r="1164" spans="4:4" x14ac:dyDescent="0.25">
      <c r="D1164" s="13"/>
    </row>
    <row r="1165" spans="4:4" x14ac:dyDescent="0.25">
      <c r="D1165" s="13"/>
    </row>
    <row r="1166" spans="4:4" x14ac:dyDescent="0.25">
      <c r="D1166" s="13"/>
    </row>
    <row r="1167" spans="4:4" x14ac:dyDescent="0.25">
      <c r="D1167" s="13"/>
    </row>
    <row r="1168" spans="4:4" x14ac:dyDescent="0.25">
      <c r="D1168" s="13"/>
    </row>
    <row r="1169" spans="4:4" x14ac:dyDescent="0.25">
      <c r="D1169" s="13"/>
    </row>
    <row r="1170" spans="4:4" x14ac:dyDescent="0.25">
      <c r="D1170" s="13"/>
    </row>
    <row r="1171" spans="4:4" x14ac:dyDescent="0.25">
      <c r="D1171" s="13"/>
    </row>
    <row r="1172" spans="4:4" x14ac:dyDescent="0.25">
      <c r="D1172" s="13"/>
    </row>
    <row r="1173" spans="4:4" x14ac:dyDescent="0.25">
      <c r="D1173" s="13"/>
    </row>
    <row r="1174" spans="4:4" x14ac:dyDescent="0.25">
      <c r="D1174" s="13"/>
    </row>
    <row r="1175" spans="4:4" x14ac:dyDescent="0.25">
      <c r="D1175" s="13"/>
    </row>
    <row r="1176" spans="4:4" x14ac:dyDescent="0.25">
      <c r="D1176" s="13"/>
    </row>
    <row r="1177" spans="4:4" x14ac:dyDescent="0.25">
      <c r="D1177" s="13"/>
    </row>
    <row r="1178" spans="4:4" x14ac:dyDescent="0.25">
      <c r="D1178" s="13"/>
    </row>
    <row r="1179" spans="4:4" x14ac:dyDescent="0.25">
      <c r="D1179" s="13"/>
    </row>
    <row r="1180" spans="4:4" x14ac:dyDescent="0.25">
      <c r="D1180" s="13"/>
    </row>
    <row r="1181" spans="4:4" x14ac:dyDescent="0.25">
      <c r="D1181" s="13"/>
    </row>
    <row r="1182" spans="4:4" x14ac:dyDescent="0.25">
      <c r="D1182" s="13"/>
    </row>
    <row r="1183" spans="4:4" x14ac:dyDescent="0.25">
      <c r="D1183" s="13"/>
    </row>
    <row r="1184" spans="4:4" x14ac:dyDescent="0.25">
      <c r="D1184" s="13"/>
    </row>
    <row r="1185" spans="4:4" x14ac:dyDescent="0.25">
      <c r="D1185" s="13"/>
    </row>
    <row r="1186" spans="4:4" x14ac:dyDescent="0.25">
      <c r="D1186" s="13"/>
    </row>
    <row r="1187" spans="4:4" x14ac:dyDescent="0.25">
      <c r="D1187" s="13"/>
    </row>
    <row r="1188" spans="4:4" x14ac:dyDescent="0.25">
      <c r="D1188" s="13"/>
    </row>
    <row r="1189" spans="4:4" x14ac:dyDescent="0.25">
      <c r="D1189" s="13"/>
    </row>
    <row r="1190" spans="4:4" x14ac:dyDescent="0.25">
      <c r="D1190" s="13"/>
    </row>
    <row r="1191" spans="4:4" x14ac:dyDescent="0.25">
      <c r="D1191" s="13"/>
    </row>
    <row r="1192" spans="4:4" x14ac:dyDescent="0.25">
      <c r="D1192" s="13"/>
    </row>
    <row r="1193" spans="4:4" x14ac:dyDescent="0.25">
      <c r="D1193" s="13"/>
    </row>
    <row r="1194" spans="4:4" x14ac:dyDescent="0.25">
      <c r="D1194" s="13"/>
    </row>
    <row r="1195" spans="4:4" x14ac:dyDescent="0.25">
      <c r="D1195" s="13"/>
    </row>
    <row r="1196" spans="4:4" x14ac:dyDescent="0.25">
      <c r="D1196" s="13"/>
    </row>
    <row r="1197" spans="4:4" x14ac:dyDescent="0.25">
      <c r="D1197" s="13"/>
    </row>
    <row r="1198" spans="4:4" x14ac:dyDescent="0.25">
      <c r="D1198" s="13"/>
    </row>
    <row r="1199" spans="4:4" x14ac:dyDescent="0.25">
      <c r="D1199" s="13"/>
    </row>
    <row r="1200" spans="4:4" x14ac:dyDescent="0.25">
      <c r="D1200" s="13"/>
    </row>
    <row r="1201" spans="4:4" x14ac:dyDescent="0.25">
      <c r="D1201" s="13"/>
    </row>
    <row r="1202" spans="4:4" x14ac:dyDescent="0.25">
      <c r="D1202" s="13"/>
    </row>
    <row r="1203" spans="4:4" x14ac:dyDescent="0.25">
      <c r="D1203" s="13"/>
    </row>
    <row r="1204" spans="4:4" x14ac:dyDescent="0.25">
      <c r="D1204" s="13"/>
    </row>
    <row r="1205" spans="4:4" x14ac:dyDescent="0.25">
      <c r="D1205" s="13"/>
    </row>
    <row r="1206" spans="4:4" x14ac:dyDescent="0.25">
      <c r="D1206" s="13"/>
    </row>
    <row r="1207" spans="4:4" x14ac:dyDescent="0.25">
      <c r="D1207" s="13"/>
    </row>
    <row r="1208" spans="4:4" x14ac:dyDescent="0.25">
      <c r="D1208" s="13"/>
    </row>
    <row r="1209" spans="4:4" x14ac:dyDescent="0.25">
      <c r="D1209" s="13"/>
    </row>
    <row r="1210" spans="4:4" x14ac:dyDescent="0.25">
      <c r="D1210" s="13"/>
    </row>
    <row r="1211" spans="4:4" x14ac:dyDescent="0.25">
      <c r="D1211" s="13"/>
    </row>
    <row r="1212" spans="4:4" x14ac:dyDescent="0.25">
      <c r="D1212" s="13"/>
    </row>
    <row r="1213" spans="4:4" x14ac:dyDescent="0.25">
      <c r="D1213" s="13"/>
    </row>
    <row r="1214" spans="4:4" x14ac:dyDescent="0.25">
      <c r="D1214" s="13"/>
    </row>
    <row r="1215" spans="4:4" x14ac:dyDescent="0.25">
      <c r="D1215" s="13"/>
    </row>
    <row r="1216" spans="4:4" x14ac:dyDescent="0.25">
      <c r="D1216" s="13"/>
    </row>
    <row r="1217" spans="4:4" x14ac:dyDescent="0.25">
      <c r="D1217" s="13"/>
    </row>
    <row r="1218" spans="4:4" x14ac:dyDescent="0.25">
      <c r="D1218" s="13"/>
    </row>
    <row r="1219" spans="4:4" x14ac:dyDescent="0.25">
      <c r="D1219" s="13"/>
    </row>
    <row r="1220" spans="4:4" x14ac:dyDescent="0.25">
      <c r="D1220" s="13"/>
    </row>
    <row r="1221" spans="4:4" x14ac:dyDescent="0.25">
      <c r="D1221" s="13"/>
    </row>
    <row r="1222" spans="4:4" x14ac:dyDescent="0.25">
      <c r="D1222" s="13"/>
    </row>
    <row r="1223" spans="4:4" x14ac:dyDescent="0.25">
      <c r="D1223" s="13"/>
    </row>
    <row r="1224" spans="4:4" x14ac:dyDescent="0.25">
      <c r="D1224" s="13"/>
    </row>
    <row r="1225" spans="4:4" x14ac:dyDescent="0.25">
      <c r="D1225" s="13"/>
    </row>
    <row r="1226" spans="4:4" x14ac:dyDescent="0.25">
      <c r="D1226" s="13"/>
    </row>
    <row r="1227" spans="4:4" x14ac:dyDescent="0.25">
      <c r="D1227" s="13"/>
    </row>
    <row r="1228" spans="4:4" x14ac:dyDescent="0.25">
      <c r="D1228" s="13"/>
    </row>
    <row r="1229" spans="4:4" x14ac:dyDescent="0.25">
      <c r="D1229" s="13"/>
    </row>
    <row r="1230" spans="4:4" x14ac:dyDescent="0.25">
      <c r="D1230" s="13"/>
    </row>
    <row r="1231" spans="4:4" x14ac:dyDescent="0.25">
      <c r="D1231" s="13"/>
    </row>
    <row r="1232" spans="4:4" x14ac:dyDescent="0.25">
      <c r="D1232" s="13"/>
    </row>
    <row r="1233" spans="4:4" x14ac:dyDescent="0.25">
      <c r="D1233" s="13"/>
    </row>
    <row r="1234" spans="4:4" x14ac:dyDescent="0.25">
      <c r="D1234" s="13"/>
    </row>
    <row r="1235" spans="4:4" x14ac:dyDescent="0.25">
      <c r="D1235" s="13"/>
    </row>
    <row r="1236" spans="4:4" x14ac:dyDescent="0.25">
      <c r="D1236" s="13"/>
    </row>
    <row r="1237" spans="4:4" x14ac:dyDescent="0.25">
      <c r="D1237" s="13"/>
    </row>
    <row r="1238" spans="4:4" x14ac:dyDescent="0.25">
      <c r="D1238" s="13"/>
    </row>
    <row r="1239" spans="4:4" x14ac:dyDescent="0.25">
      <c r="D1239" s="13"/>
    </row>
    <row r="1240" spans="4:4" x14ac:dyDescent="0.25">
      <c r="D1240" s="13"/>
    </row>
    <row r="1241" spans="4:4" x14ac:dyDescent="0.25">
      <c r="D1241" s="13"/>
    </row>
    <row r="1242" spans="4:4" x14ac:dyDescent="0.25">
      <c r="D1242" s="13"/>
    </row>
    <row r="1243" spans="4:4" x14ac:dyDescent="0.25">
      <c r="D1243" s="13"/>
    </row>
    <row r="1244" spans="4:4" x14ac:dyDescent="0.25">
      <c r="D1244" s="13"/>
    </row>
    <row r="1245" spans="4:4" x14ac:dyDescent="0.25">
      <c r="D1245" s="13"/>
    </row>
    <row r="1246" spans="4:4" x14ac:dyDescent="0.25">
      <c r="D1246" s="13"/>
    </row>
    <row r="1247" spans="4:4" x14ac:dyDescent="0.25">
      <c r="D1247" s="13"/>
    </row>
    <row r="1248" spans="4:4" x14ac:dyDescent="0.25">
      <c r="D1248" s="13"/>
    </row>
    <row r="1249" spans="4:4" x14ac:dyDescent="0.25">
      <c r="D1249" s="13"/>
    </row>
    <row r="1250" spans="4:4" x14ac:dyDescent="0.25">
      <c r="D1250" s="13"/>
    </row>
    <row r="1251" spans="4:4" x14ac:dyDescent="0.25">
      <c r="D1251" s="13"/>
    </row>
    <row r="1252" spans="4:4" x14ac:dyDescent="0.25">
      <c r="D1252" s="13"/>
    </row>
    <row r="1253" spans="4:4" x14ac:dyDescent="0.25">
      <c r="D1253" s="13"/>
    </row>
    <row r="1254" spans="4:4" x14ac:dyDescent="0.25">
      <c r="D1254" s="13"/>
    </row>
    <row r="1255" spans="4:4" x14ac:dyDescent="0.25">
      <c r="D1255" s="13"/>
    </row>
    <row r="1256" spans="4:4" x14ac:dyDescent="0.25">
      <c r="D1256" s="13"/>
    </row>
    <row r="1257" spans="4:4" x14ac:dyDescent="0.25">
      <c r="D1257" s="13"/>
    </row>
    <row r="1258" spans="4:4" x14ac:dyDescent="0.25">
      <c r="D1258" s="13"/>
    </row>
    <row r="1259" spans="4:4" x14ac:dyDescent="0.25">
      <c r="D1259" s="13"/>
    </row>
    <row r="1260" spans="4:4" x14ac:dyDescent="0.25">
      <c r="D1260" s="13"/>
    </row>
    <row r="1261" spans="4:4" x14ac:dyDescent="0.25">
      <c r="D1261" s="13"/>
    </row>
    <row r="1262" spans="4:4" x14ac:dyDescent="0.25">
      <c r="D1262" s="13"/>
    </row>
    <row r="1263" spans="4:4" x14ac:dyDescent="0.25">
      <c r="D1263" s="13"/>
    </row>
    <row r="1264" spans="4:4" x14ac:dyDescent="0.25">
      <c r="D1264" s="13"/>
    </row>
    <row r="1265" spans="4:4" x14ac:dyDescent="0.25">
      <c r="D1265" s="13"/>
    </row>
    <row r="1266" spans="4:4" x14ac:dyDescent="0.25">
      <c r="D1266" s="13"/>
    </row>
    <row r="1267" spans="4:4" x14ac:dyDescent="0.25">
      <c r="D1267" s="13"/>
    </row>
    <row r="1268" spans="4:4" x14ac:dyDescent="0.25">
      <c r="D1268" s="13"/>
    </row>
    <row r="1269" spans="4:4" x14ac:dyDescent="0.25">
      <c r="D1269" s="13"/>
    </row>
    <row r="1270" spans="4:4" x14ac:dyDescent="0.25">
      <c r="D1270" s="13"/>
    </row>
    <row r="1271" spans="4:4" x14ac:dyDescent="0.25">
      <c r="D1271" s="13"/>
    </row>
    <row r="1272" spans="4:4" x14ac:dyDescent="0.25">
      <c r="D1272" s="13"/>
    </row>
    <row r="1273" spans="4:4" x14ac:dyDescent="0.25">
      <c r="D1273" s="13"/>
    </row>
    <row r="1274" spans="4:4" x14ac:dyDescent="0.25">
      <c r="D1274" s="13"/>
    </row>
    <row r="1275" spans="4:4" x14ac:dyDescent="0.25">
      <c r="D1275" s="13"/>
    </row>
    <row r="1276" spans="4:4" x14ac:dyDescent="0.25">
      <c r="D1276" s="13"/>
    </row>
    <row r="1277" spans="4:4" x14ac:dyDescent="0.25">
      <c r="D1277" s="13"/>
    </row>
    <row r="1278" spans="4:4" x14ac:dyDescent="0.25">
      <c r="D1278" s="13"/>
    </row>
    <row r="1279" spans="4:4" x14ac:dyDescent="0.25">
      <c r="D1279" s="13"/>
    </row>
    <row r="1280" spans="4:4" x14ac:dyDescent="0.25">
      <c r="D1280" s="13"/>
    </row>
    <row r="1281" spans="4:4" x14ac:dyDescent="0.25">
      <c r="D1281" s="13"/>
    </row>
    <row r="1282" spans="4:4" x14ac:dyDescent="0.25">
      <c r="D1282" s="13"/>
    </row>
    <row r="1283" spans="4:4" x14ac:dyDescent="0.25">
      <c r="D1283" s="13"/>
    </row>
    <row r="1284" spans="4:4" x14ac:dyDescent="0.25">
      <c r="D1284" s="13"/>
    </row>
    <row r="1285" spans="4:4" x14ac:dyDescent="0.25">
      <c r="D1285" s="13"/>
    </row>
    <row r="1286" spans="4:4" x14ac:dyDescent="0.25">
      <c r="D1286" s="13"/>
    </row>
    <row r="1287" spans="4:4" x14ac:dyDescent="0.25">
      <c r="D1287" s="13"/>
    </row>
    <row r="1288" spans="4:4" x14ac:dyDescent="0.25">
      <c r="D1288" s="13"/>
    </row>
    <row r="1289" spans="4:4" x14ac:dyDescent="0.25">
      <c r="D1289" s="13"/>
    </row>
    <row r="1290" spans="4:4" x14ac:dyDescent="0.25">
      <c r="D1290" s="13"/>
    </row>
    <row r="1291" spans="4:4" x14ac:dyDescent="0.25">
      <c r="D1291" s="13"/>
    </row>
    <row r="1292" spans="4:4" x14ac:dyDescent="0.25">
      <c r="D1292" s="13"/>
    </row>
    <row r="1293" spans="4:4" x14ac:dyDescent="0.25">
      <c r="D1293" s="13"/>
    </row>
    <row r="1294" spans="4:4" x14ac:dyDescent="0.25">
      <c r="D1294" s="13"/>
    </row>
    <row r="1295" spans="4:4" x14ac:dyDescent="0.25">
      <c r="D1295" s="13"/>
    </row>
    <row r="1296" spans="4:4" x14ac:dyDescent="0.25">
      <c r="D1296" s="13"/>
    </row>
    <row r="1297" spans="4:4" x14ac:dyDescent="0.25">
      <c r="D1297" s="13"/>
    </row>
    <row r="1298" spans="4:4" x14ac:dyDescent="0.25">
      <c r="D1298" s="13"/>
    </row>
    <row r="1299" spans="4:4" x14ac:dyDescent="0.25">
      <c r="D1299" s="13"/>
    </row>
    <row r="1300" spans="4:4" x14ac:dyDescent="0.25">
      <c r="D1300" s="13"/>
    </row>
    <row r="1301" spans="4:4" x14ac:dyDescent="0.25">
      <c r="D1301" s="13"/>
    </row>
    <row r="1302" spans="4:4" x14ac:dyDescent="0.25">
      <c r="D1302" s="13"/>
    </row>
    <row r="1303" spans="4:4" x14ac:dyDescent="0.25">
      <c r="D1303" s="13"/>
    </row>
    <row r="1304" spans="4:4" x14ac:dyDescent="0.25">
      <c r="D1304" s="13"/>
    </row>
    <row r="1305" spans="4:4" x14ac:dyDescent="0.25">
      <c r="D1305" s="13"/>
    </row>
    <row r="1306" spans="4:4" x14ac:dyDescent="0.25">
      <c r="D1306" s="13"/>
    </row>
    <row r="1307" spans="4:4" x14ac:dyDescent="0.25">
      <c r="D1307" s="13"/>
    </row>
    <row r="1308" spans="4:4" x14ac:dyDescent="0.25">
      <c r="D1308" s="13"/>
    </row>
    <row r="1309" spans="4:4" x14ac:dyDescent="0.25">
      <c r="D1309" s="13"/>
    </row>
    <row r="1310" spans="4:4" x14ac:dyDescent="0.25">
      <c r="D1310" s="13"/>
    </row>
    <row r="1311" spans="4:4" x14ac:dyDescent="0.25">
      <c r="D1311" s="13"/>
    </row>
    <row r="1312" spans="4:4" x14ac:dyDescent="0.25">
      <c r="D1312" s="13"/>
    </row>
    <row r="1313" spans="4:4" x14ac:dyDescent="0.25">
      <c r="D1313" s="13"/>
    </row>
    <row r="1314" spans="4:4" x14ac:dyDescent="0.25">
      <c r="D1314" s="13"/>
    </row>
    <row r="1315" spans="4:4" x14ac:dyDescent="0.25">
      <c r="D1315" s="13"/>
    </row>
    <row r="1316" spans="4:4" x14ac:dyDescent="0.25">
      <c r="D1316" s="13"/>
    </row>
    <row r="1317" spans="4:4" x14ac:dyDescent="0.25">
      <c r="D1317" s="13"/>
    </row>
    <row r="1318" spans="4:4" x14ac:dyDescent="0.25">
      <c r="D1318" s="13"/>
    </row>
    <row r="1319" spans="4:4" x14ac:dyDescent="0.25">
      <c r="D1319" s="13"/>
    </row>
    <row r="1320" spans="4:4" x14ac:dyDescent="0.25">
      <c r="D1320" s="13"/>
    </row>
    <row r="1321" spans="4:4" x14ac:dyDescent="0.25">
      <c r="D1321" s="13"/>
    </row>
    <row r="1322" spans="4:4" x14ac:dyDescent="0.25">
      <c r="D1322" s="13"/>
    </row>
    <row r="1323" spans="4:4" x14ac:dyDescent="0.25">
      <c r="D1323" s="13"/>
    </row>
    <row r="1324" spans="4:4" x14ac:dyDescent="0.25">
      <c r="D1324" s="13"/>
    </row>
    <row r="1325" spans="4:4" x14ac:dyDescent="0.25">
      <c r="D1325" s="13"/>
    </row>
    <row r="1326" spans="4:4" x14ac:dyDescent="0.25">
      <c r="D1326" s="13"/>
    </row>
    <row r="1327" spans="4:4" x14ac:dyDescent="0.25">
      <c r="D1327" s="13"/>
    </row>
    <row r="1328" spans="4:4" x14ac:dyDescent="0.25">
      <c r="D1328" s="13"/>
    </row>
    <row r="1329" spans="4:4" x14ac:dyDescent="0.25">
      <c r="D1329" s="13"/>
    </row>
    <row r="1330" spans="4:4" x14ac:dyDescent="0.25">
      <c r="D1330" s="13"/>
    </row>
    <row r="1331" spans="4:4" x14ac:dyDescent="0.25">
      <c r="D1331" s="13"/>
    </row>
    <row r="1332" spans="4:4" x14ac:dyDescent="0.25">
      <c r="D1332" s="13"/>
    </row>
    <row r="1333" spans="4:4" x14ac:dyDescent="0.25">
      <c r="D1333" s="13"/>
    </row>
    <row r="1334" spans="4:4" x14ac:dyDescent="0.25">
      <c r="D1334" s="13"/>
    </row>
    <row r="1335" spans="4:4" x14ac:dyDescent="0.25">
      <c r="D1335" s="13"/>
    </row>
    <row r="1336" spans="4:4" x14ac:dyDescent="0.25">
      <c r="D1336" s="13"/>
    </row>
    <row r="1337" spans="4:4" x14ac:dyDescent="0.25">
      <c r="D1337" s="13"/>
    </row>
    <row r="1338" spans="4:4" x14ac:dyDescent="0.25">
      <c r="D1338" s="13"/>
    </row>
    <row r="1339" spans="4:4" x14ac:dyDescent="0.25">
      <c r="D1339" s="13"/>
    </row>
    <row r="1340" spans="4:4" x14ac:dyDescent="0.25">
      <c r="D1340" s="13"/>
    </row>
    <row r="1341" spans="4:4" x14ac:dyDescent="0.25">
      <c r="D1341" s="13"/>
    </row>
    <row r="1342" spans="4:4" x14ac:dyDescent="0.25">
      <c r="D1342" s="13"/>
    </row>
    <row r="1343" spans="4:4" x14ac:dyDescent="0.25">
      <c r="D1343" s="13"/>
    </row>
    <row r="1344" spans="4:4" x14ac:dyDescent="0.25">
      <c r="D1344" s="13"/>
    </row>
    <row r="1345" spans="4:4" x14ac:dyDescent="0.25">
      <c r="D1345" s="13"/>
    </row>
    <row r="1346" spans="4:4" x14ac:dyDescent="0.25">
      <c r="D1346" s="13"/>
    </row>
    <row r="1347" spans="4:4" x14ac:dyDescent="0.25">
      <c r="D1347" s="13"/>
    </row>
    <row r="1348" spans="4:4" x14ac:dyDescent="0.25">
      <c r="D1348" s="13"/>
    </row>
    <row r="1349" spans="4:4" x14ac:dyDescent="0.25">
      <c r="D1349" s="13"/>
    </row>
    <row r="1350" spans="4:4" x14ac:dyDescent="0.25">
      <c r="D1350" s="13"/>
    </row>
    <row r="1351" spans="4:4" x14ac:dyDescent="0.25">
      <c r="D1351" s="13"/>
    </row>
    <row r="1352" spans="4:4" x14ac:dyDescent="0.25">
      <c r="D1352" s="13"/>
    </row>
    <row r="1353" spans="4:4" x14ac:dyDescent="0.25">
      <c r="D1353" s="13"/>
    </row>
    <row r="1354" spans="4:4" x14ac:dyDescent="0.25">
      <c r="D1354" s="13"/>
    </row>
    <row r="1355" spans="4:4" x14ac:dyDescent="0.25">
      <c r="D1355" s="13"/>
    </row>
    <row r="1356" spans="4:4" x14ac:dyDescent="0.25">
      <c r="D1356" s="13"/>
    </row>
    <row r="1357" spans="4:4" x14ac:dyDescent="0.25">
      <c r="D1357" s="13"/>
    </row>
    <row r="1358" spans="4:4" x14ac:dyDescent="0.25">
      <c r="D1358" s="13"/>
    </row>
    <row r="1359" spans="4:4" x14ac:dyDescent="0.25">
      <c r="D1359" s="13"/>
    </row>
    <row r="1360" spans="4:4" x14ac:dyDescent="0.25">
      <c r="D1360" s="13"/>
    </row>
    <row r="1361" spans="4:4" x14ac:dyDescent="0.25">
      <c r="D1361" s="13"/>
    </row>
    <row r="1362" spans="4:4" x14ac:dyDescent="0.25">
      <c r="D1362" s="13"/>
    </row>
    <row r="1363" spans="4:4" x14ac:dyDescent="0.25">
      <c r="D1363" s="13"/>
    </row>
    <row r="1364" spans="4:4" x14ac:dyDescent="0.25">
      <c r="D1364" s="13"/>
    </row>
    <row r="1365" spans="4:4" x14ac:dyDescent="0.25">
      <c r="D1365" s="13"/>
    </row>
    <row r="1366" spans="4:4" x14ac:dyDescent="0.25">
      <c r="D1366" s="13"/>
    </row>
    <row r="1367" spans="4:4" x14ac:dyDescent="0.25">
      <c r="D1367" s="13"/>
    </row>
    <row r="1368" spans="4:4" x14ac:dyDescent="0.25">
      <c r="D1368" s="13"/>
    </row>
    <row r="1369" spans="4:4" x14ac:dyDescent="0.25">
      <c r="D1369" s="13"/>
    </row>
    <row r="1370" spans="4:4" x14ac:dyDescent="0.25">
      <c r="D1370" s="13"/>
    </row>
    <row r="1371" spans="4:4" x14ac:dyDescent="0.25">
      <c r="D1371" s="13"/>
    </row>
    <row r="1372" spans="4:4" x14ac:dyDescent="0.25">
      <c r="D1372" s="13"/>
    </row>
    <row r="1373" spans="4:4" x14ac:dyDescent="0.25">
      <c r="D1373" s="13"/>
    </row>
    <row r="1374" spans="4:4" x14ac:dyDescent="0.25">
      <c r="D1374" s="13"/>
    </row>
    <row r="1375" spans="4:4" x14ac:dyDescent="0.25">
      <c r="D1375" s="13"/>
    </row>
    <row r="1376" spans="4:4" x14ac:dyDescent="0.25">
      <c r="D1376" s="13"/>
    </row>
    <row r="1377" spans="4:4" x14ac:dyDescent="0.25">
      <c r="D1377" s="13"/>
    </row>
    <row r="1378" spans="4:4" x14ac:dyDescent="0.25">
      <c r="D1378" s="13"/>
    </row>
    <row r="1379" spans="4:4" x14ac:dyDescent="0.25">
      <c r="D1379" s="13"/>
    </row>
    <row r="1380" spans="4:4" x14ac:dyDescent="0.25">
      <c r="D1380" s="13"/>
    </row>
    <row r="1381" spans="4:4" x14ac:dyDescent="0.25">
      <c r="D1381" s="13"/>
    </row>
    <row r="1382" spans="4:4" x14ac:dyDescent="0.25">
      <c r="D1382" s="13"/>
    </row>
    <row r="1383" spans="4:4" x14ac:dyDescent="0.25">
      <c r="D1383" s="13"/>
    </row>
    <row r="1384" spans="4:4" x14ac:dyDescent="0.25">
      <c r="D1384" s="13"/>
    </row>
    <row r="1385" spans="4:4" x14ac:dyDescent="0.25">
      <c r="D1385" s="13"/>
    </row>
    <row r="1386" spans="4:4" x14ac:dyDescent="0.25">
      <c r="D1386" s="13"/>
    </row>
    <row r="1387" spans="4:4" x14ac:dyDescent="0.25">
      <c r="D1387" s="13"/>
    </row>
    <row r="1388" spans="4:4" x14ac:dyDescent="0.25">
      <c r="D1388" s="13"/>
    </row>
    <row r="1389" spans="4:4" x14ac:dyDescent="0.25">
      <c r="D1389" s="13"/>
    </row>
    <row r="1390" spans="4:4" x14ac:dyDescent="0.25">
      <c r="D1390" s="13"/>
    </row>
    <row r="1391" spans="4:4" x14ac:dyDescent="0.25">
      <c r="D1391" s="13"/>
    </row>
    <row r="1392" spans="4:4" x14ac:dyDescent="0.25">
      <c r="D1392" s="13"/>
    </row>
    <row r="1393" spans="4:4" x14ac:dyDescent="0.25">
      <c r="D1393" s="13"/>
    </row>
    <row r="1394" spans="4:4" x14ac:dyDescent="0.25">
      <c r="D1394" s="13"/>
    </row>
    <row r="1395" spans="4:4" x14ac:dyDescent="0.25">
      <c r="D1395" s="13"/>
    </row>
    <row r="1396" spans="4:4" x14ac:dyDescent="0.25">
      <c r="D1396" s="13"/>
    </row>
    <row r="1397" spans="4:4" x14ac:dyDescent="0.25">
      <c r="D1397" s="13"/>
    </row>
    <row r="1398" spans="4:4" x14ac:dyDescent="0.25">
      <c r="D1398" s="13"/>
    </row>
    <row r="1399" spans="4:4" x14ac:dyDescent="0.25">
      <c r="D1399" s="13"/>
    </row>
    <row r="1400" spans="4:4" x14ac:dyDescent="0.25">
      <c r="D1400" s="13"/>
    </row>
    <row r="1401" spans="4:4" x14ac:dyDescent="0.25">
      <c r="D1401" s="13"/>
    </row>
    <row r="1402" spans="4:4" x14ac:dyDescent="0.25">
      <c r="D1402" s="13"/>
    </row>
    <row r="1403" spans="4:4" x14ac:dyDescent="0.25">
      <c r="D1403" s="13"/>
    </row>
    <row r="1404" spans="4:4" x14ac:dyDescent="0.25">
      <c r="D1404" s="13"/>
    </row>
    <row r="1405" spans="4:4" x14ac:dyDescent="0.25">
      <c r="D1405" s="13"/>
    </row>
    <row r="1406" spans="4:4" x14ac:dyDescent="0.25">
      <c r="D1406" s="13"/>
    </row>
    <row r="1407" spans="4:4" x14ac:dyDescent="0.25">
      <c r="D1407" s="13"/>
    </row>
    <row r="1408" spans="4:4" x14ac:dyDescent="0.25">
      <c r="D1408" s="13"/>
    </row>
    <row r="1409" spans="4:4" x14ac:dyDescent="0.25">
      <c r="D1409" s="13"/>
    </row>
    <row r="1410" spans="4:4" x14ac:dyDescent="0.25">
      <c r="D1410" s="13"/>
    </row>
    <row r="1411" spans="4:4" x14ac:dyDescent="0.25">
      <c r="D1411" s="13"/>
    </row>
    <row r="1412" spans="4:4" x14ac:dyDescent="0.25">
      <c r="D1412" s="13"/>
    </row>
    <row r="1413" spans="4:4" x14ac:dyDescent="0.25">
      <c r="D1413" s="13"/>
    </row>
    <row r="1414" spans="4:4" x14ac:dyDescent="0.25">
      <c r="D1414" s="13"/>
    </row>
    <row r="1415" spans="4:4" x14ac:dyDescent="0.25">
      <c r="D1415" s="13"/>
    </row>
    <row r="1416" spans="4:4" x14ac:dyDescent="0.25">
      <c r="D1416" s="13"/>
    </row>
    <row r="1417" spans="4:4" x14ac:dyDescent="0.25">
      <c r="D1417" s="13"/>
    </row>
    <row r="1418" spans="4:4" x14ac:dyDescent="0.25">
      <c r="D1418" s="13"/>
    </row>
    <row r="1419" spans="4:4" x14ac:dyDescent="0.25">
      <c r="D1419" s="13"/>
    </row>
    <row r="1420" spans="4:4" x14ac:dyDescent="0.25">
      <c r="D1420" s="13"/>
    </row>
    <row r="1421" spans="4:4" x14ac:dyDescent="0.25">
      <c r="D1421" s="13"/>
    </row>
    <row r="1422" spans="4:4" x14ac:dyDescent="0.25">
      <c r="D1422" s="13"/>
    </row>
    <row r="1423" spans="4:4" x14ac:dyDescent="0.25">
      <c r="D1423" s="13"/>
    </row>
    <row r="1424" spans="4:4" x14ac:dyDescent="0.25">
      <c r="D1424" s="13"/>
    </row>
    <row r="1425" spans="4:4" x14ac:dyDescent="0.25">
      <c r="D1425" s="13"/>
    </row>
    <row r="1426" spans="4:4" x14ac:dyDescent="0.25">
      <c r="D1426" s="13"/>
    </row>
    <row r="1427" spans="4:4" x14ac:dyDescent="0.25">
      <c r="D1427" s="13"/>
    </row>
    <row r="1428" spans="4:4" x14ac:dyDescent="0.25">
      <c r="D1428" s="13"/>
    </row>
    <row r="1429" spans="4:4" x14ac:dyDescent="0.25">
      <c r="D1429" s="13"/>
    </row>
    <row r="1430" spans="4:4" x14ac:dyDescent="0.25">
      <c r="D1430" s="13"/>
    </row>
    <row r="1431" spans="4:4" x14ac:dyDescent="0.25">
      <c r="D1431" s="13"/>
    </row>
    <row r="1432" spans="4:4" x14ac:dyDescent="0.25">
      <c r="D1432" s="13"/>
    </row>
    <row r="1433" spans="4:4" x14ac:dyDescent="0.25">
      <c r="D1433" s="13"/>
    </row>
    <row r="1434" spans="4:4" x14ac:dyDescent="0.25">
      <c r="D1434" s="13"/>
    </row>
    <row r="1435" spans="4:4" x14ac:dyDescent="0.25">
      <c r="D1435" s="13"/>
    </row>
    <row r="1436" spans="4:4" x14ac:dyDescent="0.25">
      <c r="D1436" s="13"/>
    </row>
    <row r="1437" spans="4:4" x14ac:dyDescent="0.25">
      <c r="D1437" s="13"/>
    </row>
    <row r="1438" spans="4:4" x14ac:dyDescent="0.25">
      <c r="D1438" s="13"/>
    </row>
    <row r="1439" spans="4:4" x14ac:dyDescent="0.25">
      <c r="D1439" s="13"/>
    </row>
    <row r="1440" spans="4:4" x14ac:dyDescent="0.25">
      <c r="D1440" s="13"/>
    </row>
    <row r="1441" spans="4:4" x14ac:dyDescent="0.25">
      <c r="D1441" s="13"/>
    </row>
    <row r="1442" spans="4:4" x14ac:dyDescent="0.25">
      <c r="D1442" s="13"/>
    </row>
    <row r="1443" spans="4:4" x14ac:dyDescent="0.25">
      <c r="D1443" s="13"/>
    </row>
    <row r="1444" spans="4:4" x14ac:dyDescent="0.25">
      <c r="D1444" s="13"/>
    </row>
    <row r="1445" spans="4:4" x14ac:dyDescent="0.25">
      <c r="D1445" s="13"/>
    </row>
    <row r="1446" spans="4:4" x14ac:dyDescent="0.25">
      <c r="D1446" s="13"/>
    </row>
    <row r="1447" spans="4:4" x14ac:dyDescent="0.25">
      <c r="D1447" s="13"/>
    </row>
    <row r="1448" spans="4:4" x14ac:dyDescent="0.25">
      <c r="D1448" s="13"/>
    </row>
    <row r="1449" spans="4:4" x14ac:dyDescent="0.25">
      <c r="D1449" s="13"/>
    </row>
    <row r="1450" spans="4:4" x14ac:dyDescent="0.25">
      <c r="D1450" s="13"/>
    </row>
    <row r="1451" spans="4:4" x14ac:dyDescent="0.25">
      <c r="D1451" s="13"/>
    </row>
    <row r="1452" spans="4:4" x14ac:dyDescent="0.25">
      <c r="D1452" s="13"/>
    </row>
    <row r="1453" spans="4:4" x14ac:dyDescent="0.25">
      <c r="D1453" s="13"/>
    </row>
    <row r="1454" spans="4:4" x14ac:dyDescent="0.25">
      <c r="D1454" s="13"/>
    </row>
    <row r="1455" spans="4:4" x14ac:dyDescent="0.25">
      <c r="D1455" s="13"/>
    </row>
    <row r="1456" spans="4:4" x14ac:dyDescent="0.25">
      <c r="D1456" s="13"/>
    </row>
    <row r="1457" spans="4:4" x14ac:dyDescent="0.25">
      <c r="D1457" s="13"/>
    </row>
    <row r="1458" spans="4:4" x14ac:dyDescent="0.25">
      <c r="D1458" s="13"/>
    </row>
    <row r="1459" spans="4:4" x14ac:dyDescent="0.25">
      <c r="D1459" s="13"/>
    </row>
    <row r="1460" spans="4:4" x14ac:dyDescent="0.25">
      <c r="D1460" s="13"/>
    </row>
    <row r="1461" spans="4:4" x14ac:dyDescent="0.25">
      <c r="D1461" s="13"/>
    </row>
    <row r="1462" spans="4:4" x14ac:dyDescent="0.25">
      <c r="D1462" s="13"/>
    </row>
    <row r="1463" spans="4:4" x14ac:dyDescent="0.25">
      <c r="D1463" s="13"/>
    </row>
    <row r="1464" spans="4:4" x14ac:dyDescent="0.25">
      <c r="D1464" s="13"/>
    </row>
    <row r="1465" spans="4:4" x14ac:dyDescent="0.25">
      <c r="D1465" s="13"/>
    </row>
    <row r="1466" spans="4:4" x14ac:dyDescent="0.25">
      <c r="D1466" s="13"/>
    </row>
    <row r="1467" spans="4:4" x14ac:dyDescent="0.25">
      <c r="D1467" s="13"/>
    </row>
    <row r="1468" spans="4:4" x14ac:dyDescent="0.25">
      <c r="D1468" s="13"/>
    </row>
    <row r="1469" spans="4:4" x14ac:dyDescent="0.25">
      <c r="D1469" s="13"/>
    </row>
    <row r="1470" spans="4:4" x14ac:dyDescent="0.25">
      <c r="D1470" s="13"/>
    </row>
    <row r="1471" spans="4:4" x14ac:dyDescent="0.25">
      <c r="D1471" s="13"/>
    </row>
    <row r="1472" spans="4:4" x14ac:dyDescent="0.25">
      <c r="D1472" s="13"/>
    </row>
    <row r="1473" spans="4:4" x14ac:dyDescent="0.25">
      <c r="D1473" s="13"/>
    </row>
    <row r="1474" spans="4:4" x14ac:dyDescent="0.25">
      <c r="D1474" s="13"/>
    </row>
    <row r="1475" spans="4:4" x14ac:dyDescent="0.25">
      <c r="D1475" s="13"/>
    </row>
    <row r="1476" spans="4:4" x14ac:dyDescent="0.25">
      <c r="D1476" s="13"/>
    </row>
    <row r="1477" spans="4:4" x14ac:dyDescent="0.25">
      <c r="D1477" s="13"/>
    </row>
    <row r="1478" spans="4:4" x14ac:dyDescent="0.25">
      <c r="D1478" s="13"/>
    </row>
    <row r="1479" spans="4:4" x14ac:dyDescent="0.25">
      <c r="D1479" s="13"/>
    </row>
    <row r="1480" spans="4:4" x14ac:dyDescent="0.25">
      <c r="D1480" s="13"/>
    </row>
    <row r="1481" spans="4:4" x14ac:dyDescent="0.25">
      <c r="D1481" s="13"/>
    </row>
    <row r="1482" spans="4:4" x14ac:dyDescent="0.25">
      <c r="D1482" s="13"/>
    </row>
    <row r="1483" spans="4:4" x14ac:dyDescent="0.25">
      <c r="D1483" s="13"/>
    </row>
    <row r="1484" spans="4:4" x14ac:dyDescent="0.25">
      <c r="D1484" s="13"/>
    </row>
    <row r="1485" spans="4:4" x14ac:dyDescent="0.25">
      <c r="D1485" s="13"/>
    </row>
    <row r="1486" spans="4:4" x14ac:dyDescent="0.25">
      <c r="D1486" s="13"/>
    </row>
    <row r="1487" spans="4:4" x14ac:dyDescent="0.25">
      <c r="D1487" s="13"/>
    </row>
    <row r="1488" spans="4:4" x14ac:dyDescent="0.25">
      <c r="D1488" s="13"/>
    </row>
    <row r="1489" spans="4:4" x14ac:dyDescent="0.25">
      <c r="D1489" s="13"/>
    </row>
    <row r="1490" spans="4:4" x14ac:dyDescent="0.25">
      <c r="D1490" s="13"/>
    </row>
    <row r="1491" spans="4:4" x14ac:dyDescent="0.25">
      <c r="D1491" s="13"/>
    </row>
    <row r="1492" spans="4:4" x14ac:dyDescent="0.25">
      <c r="D1492" s="13"/>
    </row>
    <row r="1493" spans="4:4" x14ac:dyDescent="0.25">
      <c r="D1493" s="13"/>
    </row>
    <row r="1494" spans="4:4" x14ac:dyDescent="0.25">
      <c r="D1494" s="13"/>
    </row>
    <row r="1495" spans="4:4" x14ac:dyDescent="0.25">
      <c r="D1495" s="13"/>
    </row>
    <row r="1496" spans="4:4" x14ac:dyDescent="0.25">
      <c r="D1496" s="13"/>
    </row>
    <row r="1497" spans="4:4" x14ac:dyDescent="0.25">
      <c r="D1497" s="13"/>
    </row>
    <row r="1498" spans="4:4" x14ac:dyDescent="0.25">
      <c r="D1498" s="13"/>
    </row>
    <row r="1499" spans="4:4" x14ac:dyDescent="0.25">
      <c r="D1499" s="13"/>
    </row>
    <row r="1500" spans="4:4" x14ac:dyDescent="0.25">
      <c r="D1500" s="13"/>
    </row>
    <row r="1501" spans="4:4" x14ac:dyDescent="0.25">
      <c r="D1501" s="13"/>
    </row>
    <row r="1502" spans="4:4" x14ac:dyDescent="0.25">
      <c r="D1502" s="13"/>
    </row>
    <row r="1503" spans="4:4" x14ac:dyDescent="0.25">
      <c r="D1503" s="13"/>
    </row>
    <row r="1504" spans="4:4" x14ac:dyDescent="0.25">
      <c r="D1504" s="13"/>
    </row>
    <row r="1505" spans="4:4" x14ac:dyDescent="0.25">
      <c r="D1505" s="13"/>
    </row>
    <row r="1506" spans="4:4" x14ac:dyDescent="0.25">
      <c r="D1506" s="13"/>
    </row>
    <row r="1507" spans="4:4" x14ac:dyDescent="0.25">
      <c r="D1507" s="13"/>
    </row>
    <row r="1508" spans="4:4" x14ac:dyDescent="0.25">
      <c r="D1508" s="13"/>
    </row>
    <row r="1509" spans="4:4" x14ac:dyDescent="0.25">
      <c r="D1509" s="13"/>
    </row>
    <row r="1510" spans="4:4" x14ac:dyDescent="0.25">
      <c r="D1510" s="13"/>
    </row>
    <row r="1511" spans="4:4" x14ac:dyDescent="0.25">
      <c r="D1511" s="13"/>
    </row>
    <row r="1512" spans="4:4" x14ac:dyDescent="0.25">
      <c r="D1512" s="13"/>
    </row>
    <row r="1513" spans="4:4" x14ac:dyDescent="0.25">
      <c r="D1513" s="13"/>
    </row>
    <row r="1514" spans="4:4" x14ac:dyDescent="0.25">
      <c r="D1514" s="13"/>
    </row>
    <row r="1515" spans="4:4" x14ac:dyDescent="0.25">
      <c r="D1515" s="13"/>
    </row>
    <row r="1516" spans="4:4" x14ac:dyDescent="0.25">
      <c r="D1516" s="13"/>
    </row>
    <row r="1517" spans="4:4" x14ac:dyDescent="0.25">
      <c r="D1517" s="13"/>
    </row>
    <row r="1518" spans="4:4" x14ac:dyDescent="0.25">
      <c r="D1518" s="13"/>
    </row>
    <row r="1519" spans="4:4" x14ac:dyDescent="0.25">
      <c r="D1519" s="13"/>
    </row>
    <row r="1520" spans="4:4" x14ac:dyDescent="0.25">
      <c r="D1520" s="13"/>
    </row>
    <row r="1521" spans="4:4" x14ac:dyDescent="0.25">
      <c r="D1521" s="13"/>
    </row>
    <row r="1522" spans="4:4" x14ac:dyDescent="0.25">
      <c r="D1522" s="13"/>
    </row>
    <row r="1523" spans="4:4" x14ac:dyDescent="0.25">
      <c r="D1523" s="13"/>
    </row>
    <row r="1524" spans="4:4" x14ac:dyDescent="0.25">
      <c r="D1524" s="13"/>
    </row>
    <row r="1525" spans="4:4" x14ac:dyDescent="0.25">
      <c r="D1525" s="13"/>
    </row>
    <row r="1526" spans="4:4" x14ac:dyDescent="0.25">
      <c r="D1526" s="13"/>
    </row>
    <row r="1527" spans="4:4" x14ac:dyDescent="0.25">
      <c r="D1527" s="13"/>
    </row>
    <row r="1528" spans="4:4" x14ac:dyDescent="0.25">
      <c r="D1528" s="13"/>
    </row>
    <row r="1529" spans="4:4" x14ac:dyDescent="0.25">
      <c r="D1529" s="13"/>
    </row>
    <row r="1530" spans="4:4" x14ac:dyDescent="0.25">
      <c r="D1530" s="13"/>
    </row>
    <row r="1531" spans="4:4" x14ac:dyDescent="0.25">
      <c r="D1531" s="13"/>
    </row>
    <row r="1532" spans="4:4" x14ac:dyDescent="0.25">
      <c r="D1532" s="13"/>
    </row>
    <row r="1533" spans="4:4" x14ac:dyDescent="0.25">
      <c r="D1533" s="13"/>
    </row>
    <row r="1534" spans="4:4" x14ac:dyDescent="0.25">
      <c r="D1534" s="13"/>
    </row>
    <row r="1535" spans="4:4" x14ac:dyDescent="0.25">
      <c r="D1535" s="13"/>
    </row>
    <row r="1536" spans="4:4" x14ac:dyDescent="0.25">
      <c r="D1536" s="13"/>
    </row>
    <row r="1537" spans="4:4" x14ac:dyDescent="0.25">
      <c r="D1537" s="13"/>
    </row>
    <row r="1538" spans="4:4" x14ac:dyDescent="0.25">
      <c r="D1538" s="13"/>
    </row>
    <row r="1539" spans="4:4" x14ac:dyDescent="0.25">
      <c r="D1539" s="13"/>
    </row>
    <row r="1540" spans="4:4" x14ac:dyDescent="0.25">
      <c r="D1540" s="13"/>
    </row>
    <row r="1541" spans="4:4" x14ac:dyDescent="0.25">
      <c r="D1541" s="13"/>
    </row>
    <row r="1542" spans="4:4" x14ac:dyDescent="0.25">
      <c r="D1542" s="13"/>
    </row>
    <row r="1543" spans="4:4" x14ac:dyDescent="0.25">
      <c r="D1543" s="13"/>
    </row>
    <row r="1544" spans="4:4" x14ac:dyDescent="0.25">
      <c r="D1544" s="13"/>
    </row>
    <row r="1545" spans="4:4" x14ac:dyDescent="0.25">
      <c r="D1545" s="13"/>
    </row>
    <row r="1546" spans="4:4" x14ac:dyDescent="0.25">
      <c r="D1546" s="13"/>
    </row>
    <row r="1547" spans="4:4" x14ac:dyDescent="0.25">
      <c r="D1547" s="13"/>
    </row>
    <row r="1548" spans="4:4" x14ac:dyDescent="0.25">
      <c r="D1548" s="13"/>
    </row>
    <row r="1549" spans="4:4" x14ac:dyDescent="0.25">
      <c r="D1549" s="13"/>
    </row>
    <row r="1550" spans="4:4" x14ac:dyDescent="0.25">
      <c r="D1550" s="13"/>
    </row>
    <row r="1551" spans="4:4" x14ac:dyDescent="0.25">
      <c r="D1551" s="13"/>
    </row>
    <row r="1552" spans="4:4" x14ac:dyDescent="0.25">
      <c r="D1552" s="13"/>
    </row>
    <row r="1553" spans="4:4" x14ac:dyDescent="0.25">
      <c r="D1553" s="13"/>
    </row>
    <row r="1554" spans="4:4" x14ac:dyDescent="0.25">
      <c r="D1554" s="13"/>
    </row>
    <row r="1555" spans="4:4" x14ac:dyDescent="0.25">
      <c r="D1555" s="13"/>
    </row>
    <row r="1556" spans="4:4" x14ac:dyDescent="0.25">
      <c r="D1556" s="13"/>
    </row>
    <row r="1557" spans="4:4" x14ac:dyDescent="0.25">
      <c r="D1557" s="13"/>
    </row>
    <row r="1558" spans="4:4" x14ac:dyDescent="0.25">
      <c r="D1558" s="13"/>
    </row>
    <row r="1559" spans="4:4" x14ac:dyDescent="0.25">
      <c r="D1559" s="13"/>
    </row>
    <row r="1560" spans="4:4" x14ac:dyDescent="0.25">
      <c r="D1560" s="13"/>
    </row>
    <row r="1561" spans="4:4" x14ac:dyDescent="0.25">
      <c r="D1561" s="13"/>
    </row>
    <row r="1562" spans="4:4" x14ac:dyDescent="0.25">
      <c r="D1562" s="13"/>
    </row>
    <row r="1563" spans="4:4" x14ac:dyDescent="0.25">
      <c r="D1563" s="13"/>
    </row>
    <row r="1564" spans="4:4" x14ac:dyDescent="0.25">
      <c r="D1564" s="13"/>
    </row>
    <row r="1565" spans="4:4" x14ac:dyDescent="0.25">
      <c r="D1565" s="13"/>
    </row>
    <row r="1566" spans="4:4" x14ac:dyDescent="0.25">
      <c r="D1566" s="13"/>
    </row>
    <row r="1567" spans="4:4" x14ac:dyDescent="0.25">
      <c r="D1567" s="13"/>
    </row>
    <row r="1568" spans="4:4" x14ac:dyDescent="0.25">
      <c r="D1568" s="13"/>
    </row>
    <row r="1569" spans="4:4" x14ac:dyDescent="0.25">
      <c r="D1569" s="13"/>
    </row>
    <row r="1570" spans="4:4" x14ac:dyDescent="0.25">
      <c r="D1570" s="13"/>
    </row>
    <row r="1571" spans="4:4" x14ac:dyDescent="0.25">
      <c r="D1571" s="13"/>
    </row>
    <row r="1572" spans="4:4" x14ac:dyDescent="0.25">
      <c r="D1572" s="13"/>
    </row>
    <row r="1573" spans="4:4" x14ac:dyDescent="0.25">
      <c r="D1573" s="13"/>
    </row>
    <row r="1574" spans="4:4" x14ac:dyDescent="0.25">
      <c r="D1574" s="13"/>
    </row>
    <row r="1575" spans="4:4" x14ac:dyDescent="0.25">
      <c r="D1575" s="13"/>
    </row>
    <row r="1576" spans="4:4" x14ac:dyDescent="0.25">
      <c r="D1576" s="13"/>
    </row>
    <row r="1577" spans="4:4" x14ac:dyDescent="0.25">
      <c r="D1577" s="13"/>
    </row>
    <row r="1578" spans="4:4" x14ac:dyDescent="0.25">
      <c r="D1578" s="13"/>
    </row>
    <row r="1579" spans="4:4" x14ac:dyDescent="0.25">
      <c r="D1579" s="13"/>
    </row>
    <row r="1580" spans="4:4" x14ac:dyDescent="0.25">
      <c r="D1580" s="13"/>
    </row>
    <row r="1581" spans="4:4" x14ac:dyDescent="0.25">
      <c r="D1581" s="13"/>
    </row>
    <row r="1582" spans="4:4" x14ac:dyDescent="0.25">
      <c r="D1582" s="13"/>
    </row>
    <row r="1583" spans="4:4" x14ac:dyDescent="0.25">
      <c r="D1583" s="13"/>
    </row>
    <row r="1584" spans="4:4" x14ac:dyDescent="0.25">
      <c r="D1584" s="13"/>
    </row>
    <row r="1585" spans="4:4" x14ac:dyDescent="0.25">
      <c r="D1585" s="13"/>
    </row>
    <row r="1586" spans="4:4" x14ac:dyDescent="0.25">
      <c r="D1586" s="13"/>
    </row>
    <row r="1587" spans="4:4" x14ac:dyDescent="0.25">
      <c r="D1587" s="13"/>
    </row>
    <row r="1588" spans="4:4" x14ac:dyDescent="0.25">
      <c r="D1588" s="13"/>
    </row>
    <row r="1589" spans="4:4" x14ac:dyDescent="0.25">
      <c r="D1589" s="13"/>
    </row>
    <row r="1590" spans="4:4" x14ac:dyDescent="0.25">
      <c r="D1590" s="13"/>
    </row>
    <row r="1591" spans="4:4" x14ac:dyDescent="0.25">
      <c r="D1591" s="13"/>
    </row>
    <row r="1592" spans="4:4" x14ac:dyDescent="0.25">
      <c r="D1592" s="13"/>
    </row>
    <row r="1593" spans="4:4" x14ac:dyDescent="0.25">
      <c r="D1593" s="13"/>
    </row>
    <row r="1594" spans="4:4" x14ac:dyDescent="0.25">
      <c r="D1594" s="13"/>
    </row>
    <row r="1595" spans="4:4" x14ac:dyDescent="0.25">
      <c r="D1595" s="13"/>
    </row>
    <row r="1596" spans="4:4" x14ac:dyDescent="0.25">
      <c r="D1596" s="13"/>
    </row>
    <row r="1597" spans="4:4" x14ac:dyDescent="0.25">
      <c r="D1597" s="13"/>
    </row>
    <row r="1598" spans="4:4" x14ac:dyDescent="0.25">
      <c r="D1598" s="13"/>
    </row>
    <row r="1599" spans="4:4" x14ac:dyDescent="0.25">
      <c r="D1599" s="13"/>
    </row>
    <row r="1600" spans="4:4" x14ac:dyDescent="0.25">
      <c r="D1600" s="13"/>
    </row>
    <row r="1601" spans="4:4" x14ac:dyDescent="0.25">
      <c r="D1601" s="13"/>
    </row>
    <row r="1602" spans="4:4" x14ac:dyDescent="0.25">
      <c r="D1602" s="13"/>
    </row>
    <row r="1603" spans="4:4" x14ac:dyDescent="0.25">
      <c r="D1603" s="13"/>
    </row>
    <row r="1604" spans="4:4" x14ac:dyDescent="0.25">
      <c r="D1604" s="13"/>
    </row>
    <row r="1605" spans="4:4" x14ac:dyDescent="0.25">
      <c r="D1605" s="13"/>
    </row>
    <row r="1606" spans="4:4" x14ac:dyDescent="0.25">
      <c r="D1606" s="13"/>
    </row>
    <row r="1607" spans="4:4" x14ac:dyDescent="0.25">
      <c r="D1607" s="13"/>
    </row>
    <row r="1608" spans="4:4" x14ac:dyDescent="0.25">
      <c r="D1608" s="13"/>
    </row>
    <row r="1609" spans="4:4" x14ac:dyDescent="0.25">
      <c r="D1609" s="13"/>
    </row>
    <row r="1610" spans="4:4" x14ac:dyDescent="0.25">
      <c r="D1610" s="13"/>
    </row>
    <row r="1611" spans="4:4" x14ac:dyDescent="0.25">
      <c r="D1611" s="13"/>
    </row>
    <row r="1612" spans="4:4" x14ac:dyDescent="0.25">
      <c r="D1612" s="13"/>
    </row>
    <row r="1613" spans="4:4" x14ac:dyDescent="0.25">
      <c r="D1613" s="13"/>
    </row>
    <row r="1614" spans="4:4" x14ac:dyDescent="0.25">
      <c r="D1614" s="13"/>
    </row>
    <row r="1615" spans="4:4" x14ac:dyDescent="0.25">
      <c r="D1615" s="13"/>
    </row>
    <row r="1616" spans="4:4" x14ac:dyDescent="0.25">
      <c r="D1616" s="13"/>
    </row>
    <row r="1617" spans="4:4" x14ac:dyDescent="0.25">
      <c r="D1617" s="13"/>
    </row>
    <row r="1618" spans="4:4" x14ac:dyDescent="0.25">
      <c r="D1618" s="13"/>
    </row>
    <row r="1619" spans="4:4" x14ac:dyDescent="0.25">
      <c r="D1619" s="13"/>
    </row>
    <row r="1620" spans="4:4" x14ac:dyDescent="0.25">
      <c r="D1620" s="13"/>
    </row>
    <row r="1621" spans="4:4" x14ac:dyDescent="0.25">
      <c r="D1621" s="13"/>
    </row>
    <row r="1622" spans="4:4" x14ac:dyDescent="0.25">
      <c r="D1622" s="13"/>
    </row>
    <row r="1623" spans="4:4" x14ac:dyDescent="0.25">
      <c r="D1623" s="13"/>
    </row>
    <row r="1624" spans="4:4" x14ac:dyDescent="0.25">
      <c r="D1624" s="13"/>
    </row>
    <row r="1625" spans="4:4" x14ac:dyDescent="0.25">
      <c r="D1625" s="13"/>
    </row>
    <row r="1626" spans="4:4" x14ac:dyDescent="0.25">
      <c r="D1626" s="13"/>
    </row>
    <row r="1627" spans="4:4" x14ac:dyDescent="0.25">
      <c r="D1627" s="13"/>
    </row>
    <row r="1628" spans="4:4" x14ac:dyDescent="0.25">
      <c r="D1628" s="13"/>
    </row>
    <row r="1629" spans="4:4" x14ac:dyDescent="0.25">
      <c r="D1629" s="13"/>
    </row>
    <row r="1630" spans="4:4" x14ac:dyDescent="0.25">
      <c r="D1630" s="13"/>
    </row>
    <row r="1631" spans="4:4" x14ac:dyDescent="0.25">
      <c r="D1631" s="13"/>
    </row>
    <row r="1632" spans="4:4" x14ac:dyDescent="0.25">
      <c r="D1632" s="13"/>
    </row>
    <row r="1633" spans="4:4" x14ac:dyDescent="0.25">
      <c r="D1633" s="13"/>
    </row>
    <row r="1634" spans="4:4" x14ac:dyDescent="0.25">
      <c r="D1634" s="13"/>
    </row>
    <row r="1635" spans="4:4" x14ac:dyDescent="0.25">
      <c r="D1635" s="13"/>
    </row>
    <row r="1636" spans="4:4" x14ac:dyDescent="0.25">
      <c r="D1636" s="13"/>
    </row>
    <row r="1637" spans="4:4" x14ac:dyDescent="0.25">
      <c r="D1637" s="13"/>
    </row>
    <row r="1638" spans="4:4" x14ac:dyDescent="0.25">
      <c r="D1638" s="13"/>
    </row>
    <row r="1639" spans="4:4" x14ac:dyDescent="0.25">
      <c r="D1639" s="13"/>
    </row>
    <row r="1640" spans="4:4" x14ac:dyDescent="0.25">
      <c r="D1640" s="13"/>
    </row>
    <row r="1641" spans="4:4" x14ac:dyDescent="0.25">
      <c r="D1641" s="13"/>
    </row>
    <row r="1642" spans="4:4" x14ac:dyDescent="0.25">
      <c r="D1642" s="13"/>
    </row>
    <row r="1643" spans="4:4" x14ac:dyDescent="0.25">
      <c r="D1643" s="13"/>
    </row>
    <row r="1644" spans="4:4" x14ac:dyDescent="0.25">
      <c r="D1644" s="13"/>
    </row>
    <row r="1645" spans="4:4" x14ac:dyDescent="0.25">
      <c r="D1645" s="13"/>
    </row>
    <row r="1646" spans="4:4" x14ac:dyDescent="0.25">
      <c r="D1646" s="13"/>
    </row>
    <row r="1647" spans="4:4" x14ac:dyDescent="0.25">
      <c r="D1647" s="13"/>
    </row>
    <row r="1648" spans="4:4" x14ac:dyDescent="0.25">
      <c r="D1648" s="13"/>
    </row>
    <row r="1649" spans="4:4" x14ac:dyDescent="0.25">
      <c r="D1649" s="13"/>
    </row>
    <row r="1650" spans="4:4" x14ac:dyDescent="0.25">
      <c r="D1650" s="13"/>
    </row>
    <row r="1651" spans="4:4" x14ac:dyDescent="0.25">
      <c r="D1651" s="13"/>
    </row>
    <row r="1652" spans="4:4" x14ac:dyDescent="0.25">
      <c r="D1652" s="13"/>
    </row>
    <row r="1653" spans="4:4" x14ac:dyDescent="0.25">
      <c r="D1653" s="13"/>
    </row>
    <row r="1654" spans="4:4" x14ac:dyDescent="0.25">
      <c r="D1654" s="13"/>
    </row>
    <row r="1655" spans="4:4" x14ac:dyDescent="0.25">
      <c r="D1655" s="13"/>
    </row>
    <row r="1656" spans="4:4" x14ac:dyDescent="0.25">
      <c r="D1656" s="13"/>
    </row>
    <row r="1657" spans="4:4" x14ac:dyDescent="0.25">
      <c r="D1657" s="13"/>
    </row>
    <row r="1658" spans="4:4" x14ac:dyDescent="0.25">
      <c r="D1658" s="13"/>
    </row>
    <row r="1659" spans="4:4" x14ac:dyDescent="0.25">
      <c r="D1659" s="13"/>
    </row>
    <row r="1660" spans="4:4" x14ac:dyDescent="0.25">
      <c r="D1660" s="13"/>
    </row>
    <row r="1661" spans="4:4" x14ac:dyDescent="0.25">
      <c r="D1661" s="13"/>
    </row>
    <row r="1662" spans="4:4" x14ac:dyDescent="0.25">
      <c r="D1662" s="13"/>
    </row>
    <row r="1663" spans="4:4" x14ac:dyDescent="0.25">
      <c r="D1663" s="13"/>
    </row>
    <row r="1664" spans="4:4" x14ac:dyDescent="0.25">
      <c r="D1664" s="13"/>
    </row>
    <row r="1665" spans="4:4" x14ac:dyDescent="0.25">
      <c r="D1665" s="13"/>
    </row>
    <row r="1666" spans="4:4" x14ac:dyDescent="0.25">
      <c r="D1666" s="13"/>
    </row>
    <row r="1667" spans="4:4" x14ac:dyDescent="0.25">
      <c r="D1667" s="13"/>
    </row>
    <row r="1668" spans="4:4" x14ac:dyDescent="0.25">
      <c r="D1668" s="13"/>
    </row>
    <row r="1669" spans="4:4" x14ac:dyDescent="0.25">
      <c r="D1669" s="13"/>
    </row>
    <row r="1670" spans="4:4" x14ac:dyDescent="0.25">
      <c r="D1670" s="13"/>
    </row>
    <row r="1671" spans="4:4" x14ac:dyDescent="0.25">
      <c r="D1671" s="13"/>
    </row>
    <row r="1672" spans="4:4" x14ac:dyDescent="0.25">
      <c r="D1672" s="13"/>
    </row>
    <row r="1673" spans="4:4" x14ac:dyDescent="0.25">
      <c r="D1673" s="13"/>
    </row>
    <row r="1674" spans="4:4" x14ac:dyDescent="0.25">
      <c r="D1674" s="13"/>
    </row>
    <row r="1675" spans="4:4" x14ac:dyDescent="0.25">
      <c r="D1675" s="13"/>
    </row>
    <row r="1676" spans="4:4" x14ac:dyDescent="0.25">
      <c r="D1676" s="13"/>
    </row>
  </sheetData>
  <sortState xmlns:xlrd2="http://schemas.microsoft.com/office/spreadsheetml/2017/richdata2" ref="A8:BE35">
    <sortCondition ref="A35"/>
  </sortState>
  <mergeCells count="7">
    <mergeCell ref="A36:C36"/>
    <mergeCell ref="A1:C2"/>
    <mergeCell ref="AC3:AD3"/>
    <mergeCell ref="M3:N3"/>
    <mergeCell ref="A7:B7"/>
    <mergeCell ref="A5:B5"/>
    <mergeCell ref="E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435"/>
  <sheetViews>
    <sheetView zoomScaleNormal="100" workbookViewId="0">
      <pane xSplit="4" ySplit="4" topLeftCell="E320" activePane="bottomRight" state="frozen"/>
      <selection pane="topRight" activeCell="E1" sqref="E1"/>
      <selection pane="bottomLeft" activeCell="A3" sqref="A3"/>
      <selection pane="bottomRight" activeCell="F340" sqref="F340"/>
    </sheetView>
  </sheetViews>
  <sheetFormatPr defaultRowHeight="15" x14ac:dyDescent="0.25"/>
  <cols>
    <col min="1" max="1" width="19.140625" style="11" bestFit="1" customWidth="1"/>
    <col min="2" max="2" width="27.5703125" style="87" bestFit="1" customWidth="1"/>
    <col min="3" max="3" width="8.140625" style="3" bestFit="1" customWidth="1"/>
    <col min="4" max="4" width="11.42578125" style="7" customWidth="1"/>
    <col min="5" max="5" width="12.28515625" style="233" customWidth="1"/>
    <col min="6" max="6" width="12.28515625" style="219" customWidth="1"/>
    <col min="7" max="7" width="11" style="219" customWidth="1"/>
    <col min="8" max="8" width="2.85546875" style="219" customWidth="1"/>
    <col min="9" max="15" width="12.42578125" style="156" customWidth="1"/>
    <col min="16" max="16" width="10.85546875" style="13" customWidth="1"/>
    <col min="17" max="18" width="9.140625" style="3"/>
    <col min="19" max="19" width="3.5703125" style="13" customWidth="1"/>
    <col min="20" max="20" width="13.140625" style="13" customWidth="1"/>
    <col min="21" max="25" width="10.85546875" style="13" customWidth="1"/>
    <col min="26" max="27" width="9.140625" style="3"/>
    <col min="28" max="28" width="3.5703125" style="13" customWidth="1"/>
    <col min="29" max="29" width="8.85546875" style="13" customWidth="1"/>
    <col min="30" max="34" width="11.140625" style="13" customWidth="1"/>
    <col min="35" max="35" width="8.85546875" style="13" customWidth="1"/>
    <col min="36" max="36" width="10.85546875" style="3" customWidth="1"/>
    <col min="37" max="16384" width="9.140625" style="3"/>
  </cols>
  <sheetData>
    <row r="1" spans="1:57" ht="15" customHeight="1" x14ac:dyDescent="0.5">
      <c r="A1" s="244" t="s">
        <v>11</v>
      </c>
      <c r="B1" s="245"/>
      <c r="C1" s="245"/>
      <c r="D1" s="55"/>
      <c r="E1" s="102"/>
      <c r="F1" s="102"/>
      <c r="G1" s="102"/>
      <c r="H1" s="102"/>
      <c r="I1" s="106"/>
      <c r="J1" s="106"/>
      <c r="K1" s="106"/>
      <c r="L1" s="106"/>
      <c r="M1" s="106"/>
      <c r="N1" s="106"/>
      <c r="O1" s="106"/>
      <c r="P1" s="56"/>
      <c r="S1" s="56"/>
      <c r="T1" s="56"/>
      <c r="U1" s="56"/>
      <c r="V1" s="56"/>
      <c r="W1" s="56"/>
      <c r="X1" s="56"/>
      <c r="Y1" s="56"/>
      <c r="AB1" s="56"/>
      <c r="AC1" s="55"/>
      <c r="AD1" s="55"/>
      <c r="AE1" s="55"/>
      <c r="AF1" s="55"/>
      <c r="AG1" s="55"/>
      <c r="AH1" s="55"/>
      <c r="AI1" s="55"/>
    </row>
    <row r="2" spans="1:57" ht="15" customHeight="1" x14ac:dyDescent="0.5">
      <c r="A2" s="246"/>
      <c r="B2" s="247"/>
      <c r="C2" s="247"/>
      <c r="D2" s="55"/>
      <c r="E2" s="103"/>
      <c r="F2" s="103"/>
      <c r="G2" s="103"/>
      <c r="H2" s="103"/>
      <c r="I2" s="106"/>
      <c r="J2" s="106"/>
      <c r="K2" s="106"/>
      <c r="L2" s="106"/>
      <c r="M2" s="106"/>
      <c r="N2" s="106"/>
      <c r="O2" s="106"/>
      <c r="P2" s="56"/>
      <c r="S2" s="56"/>
      <c r="T2" s="56"/>
      <c r="U2" s="56"/>
      <c r="V2" s="56"/>
      <c r="W2" s="56"/>
      <c r="X2" s="56"/>
      <c r="Y2" s="56"/>
      <c r="AB2" s="56"/>
      <c r="AC2" s="55"/>
      <c r="AD2" s="55"/>
      <c r="AE2" s="55"/>
      <c r="AF2" s="55"/>
      <c r="AG2" s="55"/>
      <c r="AH2" s="55"/>
      <c r="AI2" s="55"/>
    </row>
    <row r="3" spans="1:57" s="6" customFormat="1" x14ac:dyDescent="0.25">
      <c r="A3" s="9"/>
      <c r="B3" s="82"/>
      <c r="D3" s="8"/>
      <c r="E3" s="250">
        <v>2025</v>
      </c>
      <c r="F3" s="251"/>
      <c r="G3" s="219"/>
      <c r="H3" s="36"/>
      <c r="I3" s="208"/>
      <c r="J3" s="199"/>
      <c r="K3" s="189"/>
      <c r="L3" s="173"/>
      <c r="M3" s="272">
        <v>2024</v>
      </c>
      <c r="N3" s="273"/>
      <c r="O3" s="220"/>
      <c r="P3" s="8"/>
      <c r="S3" s="8"/>
      <c r="T3" s="271">
        <v>2023</v>
      </c>
      <c r="U3" s="272"/>
      <c r="V3" s="272"/>
      <c r="W3" s="272"/>
      <c r="X3" s="273"/>
      <c r="Y3" s="8"/>
      <c r="AB3" s="8"/>
      <c r="AC3" s="256">
        <v>2022</v>
      </c>
      <c r="AD3" s="257"/>
      <c r="AE3" s="257"/>
      <c r="AF3" s="257"/>
      <c r="AG3" s="257"/>
      <c r="AH3" s="257"/>
      <c r="AI3" s="258"/>
    </row>
    <row r="4" spans="1:57" s="5" customFormat="1" ht="60" x14ac:dyDescent="0.25">
      <c r="A4" s="5" t="s">
        <v>1</v>
      </c>
      <c r="B4" s="82" t="s">
        <v>2</v>
      </c>
      <c r="C4" s="5" t="s">
        <v>3</v>
      </c>
      <c r="D4" s="49" t="s">
        <v>1091</v>
      </c>
      <c r="E4" s="239" t="s">
        <v>228</v>
      </c>
      <c r="F4" s="231" t="s">
        <v>4</v>
      </c>
      <c r="G4" s="119" t="s">
        <v>5</v>
      </c>
      <c r="H4" s="231"/>
      <c r="I4" s="210" t="s">
        <v>463</v>
      </c>
      <c r="J4" s="201" t="s">
        <v>392</v>
      </c>
      <c r="K4" s="192" t="s">
        <v>228</v>
      </c>
      <c r="L4" s="159" t="s">
        <v>879</v>
      </c>
      <c r="M4" s="159" t="s">
        <v>292</v>
      </c>
      <c r="N4" s="159" t="s">
        <v>4</v>
      </c>
      <c r="O4" s="226" t="s">
        <v>546</v>
      </c>
      <c r="P4" s="119" t="s">
        <v>5</v>
      </c>
      <c r="Q4" s="96" t="s">
        <v>1073</v>
      </c>
      <c r="R4" s="97" t="s">
        <v>544</v>
      </c>
      <c r="S4" s="140"/>
      <c r="T4" s="139" t="s">
        <v>392</v>
      </c>
      <c r="U4" s="116" t="s">
        <v>228</v>
      </c>
      <c r="V4" s="116" t="s">
        <v>292</v>
      </c>
      <c r="W4" s="116" t="s">
        <v>4</v>
      </c>
      <c r="X4" s="105" t="s">
        <v>546</v>
      </c>
      <c r="Y4" s="119" t="s">
        <v>5</v>
      </c>
      <c r="Z4" s="96" t="s">
        <v>760</v>
      </c>
      <c r="AA4" s="97" t="s">
        <v>544</v>
      </c>
      <c r="AB4" s="42"/>
      <c r="AC4" s="44" t="s">
        <v>4</v>
      </c>
      <c r="AD4" s="59" t="s">
        <v>62</v>
      </c>
      <c r="AE4" s="73" t="s">
        <v>228</v>
      </c>
      <c r="AF4" s="79" t="s">
        <v>292</v>
      </c>
      <c r="AG4" s="81" t="s">
        <v>392</v>
      </c>
      <c r="AH4" s="93" t="s">
        <v>463</v>
      </c>
      <c r="AI4" s="33" t="s">
        <v>34</v>
      </c>
      <c r="AJ4" s="95" t="s">
        <v>5</v>
      </c>
      <c r="AK4" s="96" t="s">
        <v>543</v>
      </c>
      <c r="AL4" s="97" t="s">
        <v>544</v>
      </c>
    </row>
    <row r="5" spans="1:57" x14ac:dyDescent="0.25">
      <c r="A5" s="265" t="s">
        <v>13</v>
      </c>
      <c r="B5" s="267"/>
      <c r="C5" s="268"/>
      <c r="D5" s="22"/>
      <c r="G5" s="120"/>
      <c r="I5" s="205"/>
      <c r="J5" s="196"/>
      <c r="K5" s="186"/>
      <c r="L5" s="170"/>
      <c r="M5" s="50"/>
      <c r="N5" s="50"/>
      <c r="O5" s="219"/>
      <c r="P5" s="121"/>
      <c r="Q5" s="96"/>
      <c r="R5" s="97"/>
      <c r="S5" s="22"/>
      <c r="T5" s="22"/>
      <c r="U5" s="22"/>
      <c r="V5" s="22"/>
      <c r="W5" s="22"/>
      <c r="X5" s="22"/>
      <c r="Y5" s="121"/>
      <c r="Z5" s="96"/>
      <c r="AA5" s="97"/>
      <c r="AB5" s="22"/>
      <c r="AC5" s="22"/>
      <c r="AD5" s="22"/>
      <c r="AE5" s="22"/>
      <c r="AF5" s="22"/>
      <c r="AG5" s="22"/>
      <c r="AH5" s="22"/>
      <c r="AI5" s="22"/>
      <c r="AJ5" s="95"/>
      <c r="AK5" s="96"/>
      <c r="AL5" s="97"/>
    </row>
    <row r="6" spans="1:57" s="52" customFormat="1" x14ac:dyDescent="0.25">
      <c r="A6" s="11" t="s">
        <v>236</v>
      </c>
      <c r="B6" s="60" t="s">
        <v>0</v>
      </c>
      <c r="C6" s="3">
        <v>2012</v>
      </c>
      <c r="D6" s="1">
        <f t="shared" ref="D6:D19" si="0">R6+F6+E6</f>
        <v>451.33333333333331</v>
      </c>
      <c r="E6" s="233">
        <f>24+15</f>
        <v>39</v>
      </c>
      <c r="F6" s="219"/>
      <c r="G6" s="154"/>
      <c r="H6" s="219"/>
      <c r="I6" s="205">
        <f>117+15</f>
        <v>132</v>
      </c>
      <c r="J6" s="196">
        <f>66+6</f>
        <v>72</v>
      </c>
      <c r="K6" s="186">
        <f>3+9+6+3</f>
        <v>21</v>
      </c>
      <c r="L6" s="170">
        <f>66+15+6+9</f>
        <v>96</v>
      </c>
      <c r="M6" s="50">
        <f>60+6+15+9</f>
        <v>90</v>
      </c>
      <c r="N6" s="50"/>
      <c r="O6" s="219">
        <f t="shared" ref="O6:O19" si="1">AA6</f>
        <v>826</v>
      </c>
      <c r="P6" s="120"/>
      <c r="Q6" s="96">
        <f t="shared" ref="Q6:Q19" si="2">I6+J6+K6+L6+M6+N6+O6</f>
        <v>1237</v>
      </c>
      <c r="R6" s="97">
        <f t="shared" ref="R6:R19" si="3">IF(C6=2012, Q6/3,Q6)+P6</f>
        <v>412.33333333333331</v>
      </c>
      <c r="S6" s="235"/>
      <c r="T6" s="235"/>
      <c r="U6" s="50">
        <f>81+54</f>
        <v>135</v>
      </c>
      <c r="V6" s="50">
        <f>171+69</f>
        <v>240</v>
      </c>
      <c r="W6" s="50">
        <f>66+21+3+3</f>
        <v>93</v>
      </c>
      <c r="X6" s="50">
        <f t="shared" ref="X6:X15" si="4">AL6</f>
        <v>358</v>
      </c>
      <c r="Y6" s="120"/>
      <c r="Z6" s="96">
        <f t="shared" ref="Z6:Z19" si="5">SUM(T6:X6)</f>
        <v>826</v>
      </c>
      <c r="AA6" s="97">
        <f t="shared" ref="AA6:AA19" si="6">IF(C6=2011, Z6/3,Z6)+Y6</f>
        <v>826</v>
      </c>
      <c r="AB6" s="22"/>
      <c r="AC6" s="233"/>
      <c r="AD6" s="233"/>
      <c r="AE6" s="233">
        <f>75+9</f>
        <v>84</v>
      </c>
      <c r="AF6" s="233">
        <f>81+12</f>
        <v>93</v>
      </c>
      <c r="AG6" s="233">
        <f>10+42</f>
        <v>52</v>
      </c>
      <c r="AH6" s="233">
        <f>72+48+3+3</f>
        <v>126</v>
      </c>
      <c r="AI6" s="22">
        <f>3</f>
        <v>3</v>
      </c>
      <c r="AJ6" s="95"/>
      <c r="AK6" s="96">
        <f t="shared" ref="AK6:AK15" si="7">SUM(AC6:AI6)</f>
        <v>358</v>
      </c>
      <c r="AL6" s="97">
        <f>IF(C6=2015, AK6/3,AK6)+AJ6</f>
        <v>358</v>
      </c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1:57" x14ac:dyDescent="0.25">
      <c r="A7" s="60" t="s">
        <v>359</v>
      </c>
      <c r="B7" s="65" t="s">
        <v>63</v>
      </c>
      <c r="C7" s="62">
        <v>2009</v>
      </c>
      <c r="D7" s="1">
        <f t="shared" si="0"/>
        <v>556</v>
      </c>
      <c r="E7" s="233">
        <f>33</f>
        <v>33</v>
      </c>
      <c r="F7" s="219">
        <f>3</f>
        <v>3</v>
      </c>
      <c r="G7" s="120"/>
      <c r="I7" s="205"/>
      <c r="J7" s="196">
        <f>3+9</f>
        <v>12</v>
      </c>
      <c r="K7" s="186">
        <f>3+6</f>
        <v>9</v>
      </c>
      <c r="L7" s="170">
        <f>9+6+6</f>
        <v>21</v>
      </c>
      <c r="M7" s="50">
        <f>9+39+9</f>
        <v>57</v>
      </c>
      <c r="N7" s="50">
        <f>21+15+9</f>
        <v>45</v>
      </c>
      <c r="O7" s="219">
        <f t="shared" si="1"/>
        <v>367</v>
      </c>
      <c r="P7" s="120">
        <f>9</f>
        <v>9</v>
      </c>
      <c r="Q7" s="96">
        <f t="shared" si="2"/>
        <v>511</v>
      </c>
      <c r="R7" s="97">
        <f t="shared" si="3"/>
        <v>520</v>
      </c>
      <c r="S7" s="22"/>
      <c r="T7" s="50">
        <f>6+6</f>
        <v>12</v>
      </c>
      <c r="U7" s="50"/>
      <c r="V7" s="50">
        <f>90+69</f>
        <v>159</v>
      </c>
      <c r="W7" s="50">
        <f>9+15</f>
        <v>24</v>
      </c>
      <c r="X7" s="50">
        <f t="shared" si="4"/>
        <v>169</v>
      </c>
      <c r="Y7" s="120">
        <f>3</f>
        <v>3</v>
      </c>
      <c r="Z7" s="96">
        <f t="shared" si="5"/>
        <v>364</v>
      </c>
      <c r="AA7" s="97">
        <f t="shared" si="6"/>
        <v>367</v>
      </c>
      <c r="AB7" s="22"/>
      <c r="AF7" s="13">
        <f>15+12</f>
        <v>27</v>
      </c>
      <c r="AG7" s="13">
        <f>0</f>
        <v>0</v>
      </c>
      <c r="AH7" s="13">
        <f>51+6</f>
        <v>57</v>
      </c>
      <c r="AI7" s="13">
        <f>79</f>
        <v>79</v>
      </c>
      <c r="AJ7" s="95">
        <f>6</f>
        <v>6</v>
      </c>
      <c r="AK7" s="96">
        <f t="shared" si="7"/>
        <v>163</v>
      </c>
      <c r="AL7" s="97">
        <f>IF(C7=2010, AK7/3,AK7)+AJ7</f>
        <v>169</v>
      </c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</row>
    <row r="8" spans="1:57" s="52" customFormat="1" x14ac:dyDescent="0.25">
      <c r="A8" s="11" t="s">
        <v>19</v>
      </c>
      <c r="B8" s="60" t="s">
        <v>63</v>
      </c>
      <c r="C8" s="3">
        <v>2011</v>
      </c>
      <c r="D8" s="1">
        <f t="shared" si="0"/>
        <v>466.66666666666669</v>
      </c>
      <c r="E8" s="233"/>
      <c r="F8" s="219"/>
      <c r="G8" s="154"/>
      <c r="H8" s="219"/>
      <c r="I8" s="205">
        <f>27</f>
        <v>27</v>
      </c>
      <c r="J8" s="196">
        <f>24</f>
        <v>24</v>
      </c>
      <c r="K8" s="186">
        <f>18</f>
        <v>18</v>
      </c>
      <c r="L8" s="170">
        <f>0</f>
        <v>0</v>
      </c>
      <c r="M8" s="50"/>
      <c r="N8" s="50">
        <f>36+9</f>
        <v>45</v>
      </c>
      <c r="O8" s="219">
        <f t="shared" si="1"/>
        <v>352.66666666666669</v>
      </c>
      <c r="P8" s="120"/>
      <c r="Q8" s="96">
        <f t="shared" si="2"/>
        <v>466.66666666666669</v>
      </c>
      <c r="R8" s="97">
        <f t="shared" si="3"/>
        <v>466.66666666666669</v>
      </c>
      <c r="S8" s="50"/>
      <c r="T8" s="50"/>
      <c r="U8" s="50">
        <f>48+45</f>
        <v>93</v>
      </c>
      <c r="V8" s="50">
        <f>147</f>
        <v>147</v>
      </c>
      <c r="W8" s="50">
        <f>24+48</f>
        <v>72</v>
      </c>
      <c r="X8" s="50">
        <f t="shared" si="4"/>
        <v>746</v>
      </c>
      <c r="Y8" s="120"/>
      <c r="Z8" s="96">
        <f t="shared" si="5"/>
        <v>1058</v>
      </c>
      <c r="AA8" s="97">
        <f t="shared" si="6"/>
        <v>352.66666666666669</v>
      </c>
      <c r="AB8" s="22"/>
      <c r="AC8" s="50">
        <f>10</f>
        <v>10</v>
      </c>
      <c r="AD8" s="50"/>
      <c r="AE8" s="50">
        <f>66</f>
        <v>66</v>
      </c>
      <c r="AF8" s="50">
        <f>57+9</f>
        <v>66</v>
      </c>
      <c r="AG8" s="50">
        <f>9+33</f>
        <v>42</v>
      </c>
      <c r="AH8" s="50">
        <f>42+39</f>
        <v>81</v>
      </c>
      <c r="AI8" s="233">
        <v>481</v>
      </c>
      <c r="AJ8" s="95"/>
      <c r="AK8" s="96">
        <f t="shared" si="7"/>
        <v>746</v>
      </c>
      <c r="AL8" s="97">
        <f>IF(C8=2015, AK8/3,AK8)+AJ8</f>
        <v>746</v>
      </c>
      <c r="AM8" s="152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x14ac:dyDescent="0.25">
      <c r="A9" s="11" t="s">
        <v>327</v>
      </c>
      <c r="B9" s="60" t="s">
        <v>0</v>
      </c>
      <c r="C9" s="3">
        <v>2011</v>
      </c>
      <c r="D9" s="1">
        <f t="shared" si="0"/>
        <v>495.66666666666663</v>
      </c>
      <c r="E9" s="233">
        <f>15+30</f>
        <v>45</v>
      </c>
      <c r="G9" s="120"/>
      <c r="I9" s="205">
        <f>30</f>
        <v>30</v>
      </c>
      <c r="J9" s="196">
        <f>33+9</f>
        <v>42</v>
      </c>
      <c r="K9" s="186">
        <f>12+6</f>
        <v>18</v>
      </c>
      <c r="L9" s="170"/>
      <c r="M9" s="50">
        <f>45</f>
        <v>45</v>
      </c>
      <c r="N9" s="50">
        <f>33+3</f>
        <v>36</v>
      </c>
      <c r="O9" s="219">
        <f t="shared" si="1"/>
        <v>279.66666666666663</v>
      </c>
      <c r="P9" s="120"/>
      <c r="Q9" s="96">
        <f t="shared" si="2"/>
        <v>450.66666666666663</v>
      </c>
      <c r="R9" s="97">
        <f t="shared" si="3"/>
        <v>450.66666666666663</v>
      </c>
      <c r="S9" s="233"/>
      <c r="T9" s="50"/>
      <c r="U9" s="50"/>
      <c r="V9" s="50"/>
      <c r="W9" s="50">
        <f>3+3</f>
        <v>6</v>
      </c>
      <c r="X9" s="50">
        <f t="shared" si="4"/>
        <v>689</v>
      </c>
      <c r="Y9" s="120">
        <f>18+18+9+3</f>
        <v>48</v>
      </c>
      <c r="Z9" s="96">
        <f t="shared" si="5"/>
        <v>695</v>
      </c>
      <c r="AA9" s="97">
        <f t="shared" si="6"/>
        <v>279.66666666666663</v>
      </c>
      <c r="AB9" s="22"/>
      <c r="AC9" s="50"/>
      <c r="AD9" s="50"/>
      <c r="AE9" s="50"/>
      <c r="AF9" s="50">
        <f>57+18</f>
        <v>75</v>
      </c>
      <c r="AG9" s="50">
        <f>39</f>
        <v>39</v>
      </c>
      <c r="AH9" s="50">
        <f>39+3+3</f>
        <v>45</v>
      </c>
      <c r="AI9" s="22">
        <v>530</v>
      </c>
      <c r="AJ9" s="95"/>
      <c r="AK9" s="96">
        <f t="shared" si="7"/>
        <v>689</v>
      </c>
      <c r="AL9" s="97">
        <f>IF(C9=2015, AK9/3,AK9)+AJ9</f>
        <v>689</v>
      </c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</row>
    <row r="10" spans="1:57" x14ac:dyDescent="0.25">
      <c r="A10" s="11" t="s">
        <v>26</v>
      </c>
      <c r="B10" s="11" t="s">
        <v>23</v>
      </c>
      <c r="C10" s="3">
        <v>2010</v>
      </c>
      <c r="D10" s="1">
        <f t="shared" si="0"/>
        <v>500</v>
      </c>
      <c r="F10" s="233"/>
      <c r="G10" s="154"/>
      <c r="H10" s="233"/>
      <c r="I10" s="205"/>
      <c r="J10" s="196">
        <f>36+3</f>
        <v>39</v>
      </c>
      <c r="K10" s="186"/>
      <c r="L10" s="170"/>
      <c r="M10" s="50"/>
      <c r="N10" s="50"/>
      <c r="O10" s="219">
        <f t="shared" si="1"/>
        <v>461</v>
      </c>
      <c r="P10" s="120"/>
      <c r="Q10" s="96">
        <f t="shared" si="2"/>
        <v>500</v>
      </c>
      <c r="R10" s="97">
        <f t="shared" si="3"/>
        <v>500</v>
      </c>
      <c r="S10" s="22"/>
      <c r="T10" s="50"/>
      <c r="U10" s="50"/>
      <c r="V10" s="50">
        <f>207+45</f>
        <v>252</v>
      </c>
      <c r="W10" s="50"/>
      <c r="X10" s="50">
        <f t="shared" si="4"/>
        <v>209</v>
      </c>
      <c r="Y10" s="120"/>
      <c r="Z10" s="96">
        <f t="shared" si="5"/>
        <v>461</v>
      </c>
      <c r="AA10" s="97">
        <f t="shared" si="6"/>
        <v>461</v>
      </c>
      <c r="AB10" s="22"/>
      <c r="AC10" s="50">
        <f>3</f>
        <v>3</v>
      </c>
      <c r="AD10" s="50"/>
      <c r="AE10" s="50"/>
      <c r="AF10" s="50"/>
      <c r="AG10" s="50"/>
      <c r="AH10" s="50"/>
      <c r="AI10" s="50">
        <v>624</v>
      </c>
      <c r="AJ10" s="95"/>
      <c r="AK10" s="96">
        <f t="shared" si="7"/>
        <v>627</v>
      </c>
      <c r="AL10" s="97">
        <f>IF(C10=2010, AK10/3,AK10)+AJ10</f>
        <v>209</v>
      </c>
    </row>
    <row r="11" spans="1:57" x14ac:dyDescent="0.25">
      <c r="A11" s="11" t="s">
        <v>332</v>
      </c>
      <c r="B11" s="11" t="s">
        <v>0</v>
      </c>
      <c r="C11" s="3">
        <v>2010</v>
      </c>
      <c r="D11" s="1">
        <f t="shared" si="0"/>
        <v>552</v>
      </c>
      <c r="E11" s="156">
        <f>9+30</f>
        <v>39</v>
      </c>
      <c r="F11" s="156"/>
      <c r="G11" s="154"/>
      <c r="H11" s="156"/>
      <c r="I11" s="205">
        <f>21</f>
        <v>21</v>
      </c>
      <c r="J11" s="196">
        <f>27+9</f>
        <v>36</v>
      </c>
      <c r="K11" s="186">
        <f>15+6</f>
        <v>21</v>
      </c>
      <c r="L11" s="170">
        <f>3</f>
        <v>3</v>
      </c>
      <c r="M11" s="50"/>
      <c r="N11" s="50">
        <f>30+3+3</f>
        <v>36</v>
      </c>
      <c r="O11" s="219">
        <f t="shared" si="1"/>
        <v>393</v>
      </c>
      <c r="P11" s="120">
        <f>3</f>
        <v>3</v>
      </c>
      <c r="Q11" s="96">
        <f t="shared" si="2"/>
        <v>510</v>
      </c>
      <c r="R11" s="97">
        <f t="shared" si="3"/>
        <v>513</v>
      </c>
      <c r="S11" s="22"/>
      <c r="T11" s="50">
        <f>3+3</f>
        <v>6</v>
      </c>
      <c r="U11" s="50">
        <f>21+18</f>
        <v>39</v>
      </c>
      <c r="V11" s="50">
        <f>39</f>
        <v>39</v>
      </c>
      <c r="W11" s="50">
        <f>8+18</f>
        <v>26</v>
      </c>
      <c r="X11" s="50">
        <f t="shared" si="4"/>
        <v>283</v>
      </c>
      <c r="Y11" s="120"/>
      <c r="Z11" s="96">
        <f t="shared" si="5"/>
        <v>393</v>
      </c>
      <c r="AA11" s="97">
        <f t="shared" si="6"/>
        <v>393</v>
      </c>
      <c r="AB11" s="22"/>
      <c r="AC11" s="233"/>
      <c r="AD11" s="233"/>
      <c r="AE11" s="233"/>
      <c r="AF11" s="233">
        <f>27+18</f>
        <v>45</v>
      </c>
      <c r="AG11" s="233">
        <f>12+39</f>
        <v>51</v>
      </c>
      <c r="AH11" s="233">
        <f>51+39+3+3</f>
        <v>96</v>
      </c>
      <c r="AI11" s="233">
        <f>657</f>
        <v>657</v>
      </c>
      <c r="AJ11" s="95"/>
      <c r="AK11" s="96">
        <f t="shared" si="7"/>
        <v>849</v>
      </c>
      <c r="AL11" s="97">
        <f>IF(C11=2010, AK11/3,AK11)+AJ11</f>
        <v>283</v>
      </c>
    </row>
    <row r="12" spans="1:57" x14ac:dyDescent="0.25">
      <c r="A12" s="11" t="s">
        <v>331</v>
      </c>
      <c r="B12" s="11" t="s">
        <v>0</v>
      </c>
      <c r="C12" s="3">
        <v>2012</v>
      </c>
      <c r="D12" s="1">
        <f t="shared" si="0"/>
        <v>356.33333333333331</v>
      </c>
      <c r="E12" s="233">
        <f>3</f>
        <v>3</v>
      </c>
      <c r="G12" s="120"/>
      <c r="I12" s="205">
        <f>108</f>
        <v>108</v>
      </c>
      <c r="J12" s="196">
        <f>0</f>
        <v>0</v>
      </c>
      <c r="K12" s="186">
        <f>3+6+6+3</f>
        <v>18</v>
      </c>
      <c r="L12" s="170">
        <f>42+3+6+9</f>
        <v>60</v>
      </c>
      <c r="M12" s="50"/>
      <c r="N12" s="50">
        <f>45+3+6</f>
        <v>54</v>
      </c>
      <c r="O12" s="219">
        <f t="shared" si="1"/>
        <v>820</v>
      </c>
      <c r="P12" s="120"/>
      <c r="Q12" s="96">
        <f t="shared" si="2"/>
        <v>1060</v>
      </c>
      <c r="R12" s="97">
        <f t="shared" si="3"/>
        <v>353.33333333333331</v>
      </c>
      <c r="S12" s="209"/>
      <c r="T12" s="209"/>
      <c r="U12" s="50">
        <f>66+42</f>
        <v>108</v>
      </c>
      <c r="V12" s="50">
        <f>165+39</f>
        <v>204</v>
      </c>
      <c r="W12" s="50">
        <f>24+51+3+3</f>
        <v>81</v>
      </c>
      <c r="X12" s="50">
        <f t="shared" si="4"/>
        <v>427</v>
      </c>
      <c r="Y12" s="120"/>
      <c r="Z12" s="96">
        <f t="shared" si="5"/>
        <v>820</v>
      </c>
      <c r="AA12" s="97">
        <f t="shared" si="6"/>
        <v>820</v>
      </c>
      <c r="AB12" s="22"/>
      <c r="AC12" s="50"/>
      <c r="AD12" s="50"/>
      <c r="AE12" s="50"/>
      <c r="AF12" s="50">
        <f>48+21</f>
        <v>69</v>
      </c>
      <c r="AG12" s="50">
        <f>18+36</f>
        <v>54</v>
      </c>
      <c r="AH12" s="50">
        <f>51+63+3+3</f>
        <v>120</v>
      </c>
      <c r="AI12" s="50">
        <f>184</f>
        <v>184</v>
      </c>
      <c r="AJ12" s="95"/>
      <c r="AK12" s="96">
        <f t="shared" si="7"/>
        <v>427</v>
      </c>
      <c r="AL12" s="97">
        <f>IF(C12=2015, AK12/3,AK12)+AJ12</f>
        <v>427</v>
      </c>
    </row>
    <row r="13" spans="1:57" x14ac:dyDescent="0.25">
      <c r="A13" s="60" t="s">
        <v>172</v>
      </c>
      <c r="B13" s="85" t="s">
        <v>64</v>
      </c>
      <c r="C13" s="62">
        <v>2009</v>
      </c>
      <c r="D13" s="1">
        <f t="shared" si="0"/>
        <v>351</v>
      </c>
      <c r="G13" s="120"/>
      <c r="I13" s="205"/>
      <c r="J13" s="196"/>
      <c r="K13" s="186"/>
      <c r="L13" s="170"/>
      <c r="M13" s="50"/>
      <c r="N13" s="50">
        <f>30</f>
        <v>30</v>
      </c>
      <c r="O13" s="219">
        <f t="shared" si="1"/>
        <v>312</v>
      </c>
      <c r="P13" s="120">
        <f>3+6</f>
        <v>9</v>
      </c>
      <c r="Q13" s="96">
        <f t="shared" si="2"/>
        <v>342</v>
      </c>
      <c r="R13" s="97">
        <f t="shared" si="3"/>
        <v>351</v>
      </c>
      <c r="S13" s="22"/>
      <c r="T13" s="50"/>
      <c r="U13" s="50">
        <f>27</f>
        <v>27</v>
      </c>
      <c r="V13" s="50">
        <f>207</f>
        <v>207</v>
      </c>
      <c r="W13" s="50">
        <f>18+6</f>
        <v>24</v>
      </c>
      <c r="X13" s="50">
        <f t="shared" si="4"/>
        <v>54</v>
      </c>
      <c r="Y13" s="120"/>
      <c r="Z13" s="96">
        <f t="shared" si="5"/>
        <v>312</v>
      </c>
      <c r="AA13" s="97">
        <f t="shared" si="6"/>
        <v>312</v>
      </c>
      <c r="AB13" s="22"/>
      <c r="AD13" s="13">
        <v>54</v>
      </c>
      <c r="AJ13" s="95"/>
      <c r="AK13" s="96">
        <f t="shared" si="7"/>
        <v>54</v>
      </c>
      <c r="AL13" s="97">
        <f>IF(C13=2010, AK13/3,AK13)+AJ13</f>
        <v>54</v>
      </c>
    </row>
    <row r="14" spans="1:57" x14ac:dyDescent="0.25">
      <c r="A14" s="51" t="s">
        <v>17</v>
      </c>
      <c r="B14" s="65" t="s">
        <v>63</v>
      </c>
      <c r="C14" s="52">
        <v>2009</v>
      </c>
      <c r="D14" s="1">
        <f t="shared" si="0"/>
        <v>590</v>
      </c>
      <c r="F14" s="219">
        <f>6</f>
        <v>6</v>
      </c>
      <c r="G14" s="154"/>
      <c r="I14" s="205">
        <f>0</f>
        <v>0</v>
      </c>
      <c r="J14" s="196">
        <f>9+9</f>
        <v>18</v>
      </c>
      <c r="K14" s="186">
        <f>6+6</f>
        <v>12</v>
      </c>
      <c r="L14" s="170">
        <f>9+9+6</f>
        <v>24</v>
      </c>
      <c r="M14" s="50">
        <f>39+9</f>
        <v>48</v>
      </c>
      <c r="N14" s="50">
        <f>27+15+9</f>
        <v>51</v>
      </c>
      <c r="O14" s="219">
        <f t="shared" si="1"/>
        <v>422</v>
      </c>
      <c r="P14" s="120">
        <f>9</f>
        <v>9</v>
      </c>
      <c r="Q14" s="96">
        <f t="shared" si="2"/>
        <v>575</v>
      </c>
      <c r="R14" s="97">
        <f t="shared" si="3"/>
        <v>584</v>
      </c>
      <c r="S14" s="22"/>
      <c r="T14" s="50">
        <f>12+6</f>
        <v>18</v>
      </c>
      <c r="U14" s="50">
        <f>36</f>
        <v>36</v>
      </c>
      <c r="V14" s="50">
        <f>162</f>
        <v>162</v>
      </c>
      <c r="W14" s="50">
        <f>24</f>
        <v>24</v>
      </c>
      <c r="X14" s="50">
        <f t="shared" si="4"/>
        <v>179</v>
      </c>
      <c r="Y14" s="120">
        <f>3</f>
        <v>3</v>
      </c>
      <c r="Z14" s="96">
        <f t="shared" si="5"/>
        <v>419</v>
      </c>
      <c r="AA14" s="97">
        <f t="shared" si="6"/>
        <v>422</v>
      </c>
      <c r="AB14" s="22"/>
      <c r="AC14" s="50">
        <f>9</f>
        <v>9</v>
      </c>
      <c r="AD14" s="50">
        <f>15</f>
        <v>15</v>
      </c>
      <c r="AE14" s="50"/>
      <c r="AF14" s="50">
        <f>36</f>
        <v>36</v>
      </c>
      <c r="AG14" s="50">
        <f>15</f>
        <v>15</v>
      </c>
      <c r="AH14" s="50">
        <f>51+6</f>
        <v>57</v>
      </c>
      <c r="AI14" s="233">
        <v>41</v>
      </c>
      <c r="AJ14" s="95">
        <f>6</f>
        <v>6</v>
      </c>
      <c r="AK14" s="96">
        <f t="shared" si="7"/>
        <v>173</v>
      </c>
      <c r="AL14" s="97">
        <f>IF(C14=2010, AK14/3,AK14)+AJ14</f>
        <v>179</v>
      </c>
    </row>
    <row r="15" spans="1:57" x14ac:dyDescent="0.25">
      <c r="A15" s="11" t="s">
        <v>394</v>
      </c>
      <c r="B15" s="60" t="s">
        <v>63</v>
      </c>
      <c r="C15" s="62">
        <v>2011</v>
      </c>
      <c r="D15" s="1">
        <f t="shared" si="0"/>
        <v>490</v>
      </c>
      <c r="E15" s="158">
        <f>12+33</f>
        <v>45</v>
      </c>
      <c r="F15" s="158">
        <f>27+3</f>
        <v>30</v>
      </c>
      <c r="G15" s="120"/>
      <c r="H15" s="158"/>
      <c r="I15" s="205">
        <f>24+3</f>
        <v>27</v>
      </c>
      <c r="J15" s="196">
        <f>30+6</f>
        <v>36</v>
      </c>
      <c r="K15" s="186">
        <f>9+3</f>
        <v>12</v>
      </c>
      <c r="L15" s="170">
        <f>42+6+6+6</f>
        <v>60</v>
      </c>
      <c r="M15" s="50">
        <f>46+10+3+6</f>
        <v>65</v>
      </c>
      <c r="N15" s="50">
        <f>44+10+9</f>
        <v>63</v>
      </c>
      <c r="O15" s="219">
        <f t="shared" si="1"/>
        <v>152</v>
      </c>
      <c r="P15" s="120"/>
      <c r="Q15" s="96">
        <f t="shared" si="2"/>
        <v>415</v>
      </c>
      <c r="R15" s="97">
        <f t="shared" si="3"/>
        <v>415</v>
      </c>
      <c r="S15" s="233"/>
      <c r="T15" s="50"/>
      <c r="U15" s="50">
        <f>40</f>
        <v>40</v>
      </c>
      <c r="V15" s="50">
        <f>54</f>
        <v>54</v>
      </c>
      <c r="W15" s="50">
        <f>43</f>
        <v>43</v>
      </c>
      <c r="X15" s="50">
        <f t="shared" si="4"/>
        <v>73</v>
      </c>
      <c r="Y15" s="120">
        <f>15+15+38+14</f>
        <v>82</v>
      </c>
      <c r="Z15" s="96">
        <f t="shared" si="5"/>
        <v>210</v>
      </c>
      <c r="AA15" s="97">
        <f t="shared" si="6"/>
        <v>152</v>
      </c>
      <c r="AB15" s="22"/>
      <c r="AC15" s="50"/>
      <c r="AD15" s="50"/>
      <c r="AE15" s="50"/>
      <c r="AF15" s="50"/>
      <c r="AG15" s="50">
        <v>36</v>
      </c>
      <c r="AH15" s="50">
        <f>37</f>
        <v>37</v>
      </c>
      <c r="AI15" s="36"/>
      <c r="AJ15" s="95"/>
      <c r="AK15" s="96">
        <f t="shared" si="7"/>
        <v>73</v>
      </c>
      <c r="AL15" s="97">
        <f>IF(C15=2015, AK15/3,AK15)+AJ15</f>
        <v>73</v>
      </c>
    </row>
    <row r="16" spans="1:57" x14ac:dyDescent="0.25">
      <c r="A16" s="71" t="s">
        <v>575</v>
      </c>
      <c r="B16" s="71" t="s">
        <v>63</v>
      </c>
      <c r="C16" s="72">
        <v>2009</v>
      </c>
      <c r="D16" s="1">
        <f t="shared" si="0"/>
        <v>320</v>
      </c>
      <c r="G16" s="120"/>
      <c r="I16" s="205">
        <f>3+3</f>
        <v>6</v>
      </c>
      <c r="J16" s="196">
        <f>0+6</f>
        <v>6</v>
      </c>
      <c r="K16" s="186">
        <f>10+3</f>
        <v>13</v>
      </c>
      <c r="L16" s="170">
        <f>16+6+6+6</f>
        <v>34</v>
      </c>
      <c r="M16" s="50">
        <f>42+10+3+6</f>
        <v>61</v>
      </c>
      <c r="N16" s="50">
        <f>38+10+9</f>
        <v>57</v>
      </c>
      <c r="O16" s="219">
        <f t="shared" si="1"/>
        <v>143</v>
      </c>
      <c r="P16" s="120"/>
      <c r="Q16" s="96">
        <f t="shared" si="2"/>
        <v>320</v>
      </c>
      <c r="R16" s="97">
        <f t="shared" si="3"/>
        <v>320</v>
      </c>
      <c r="S16" s="22"/>
      <c r="T16" s="50">
        <f>14+14</f>
        <v>28</v>
      </c>
      <c r="U16" s="50">
        <f>24+15</f>
        <v>39</v>
      </c>
      <c r="V16" s="50">
        <f>40+15</f>
        <v>55</v>
      </c>
      <c r="W16" s="50">
        <f>21</f>
        <v>21</v>
      </c>
      <c r="X16" s="50"/>
      <c r="Y16" s="120"/>
      <c r="Z16" s="96">
        <f t="shared" si="5"/>
        <v>143</v>
      </c>
      <c r="AA16" s="97">
        <f t="shared" si="6"/>
        <v>143</v>
      </c>
      <c r="AB16" s="22"/>
      <c r="AC16" s="233"/>
      <c r="AD16" s="233"/>
      <c r="AE16" s="233"/>
      <c r="AF16" s="233"/>
      <c r="AG16" s="233"/>
      <c r="AH16" s="233"/>
      <c r="AI16" s="36"/>
      <c r="AJ16" s="95"/>
      <c r="AK16" s="96"/>
      <c r="AL16" s="97"/>
    </row>
    <row r="17" spans="1:57" s="17" customFormat="1" x14ac:dyDescent="0.25">
      <c r="A17" s="51" t="s">
        <v>18</v>
      </c>
      <c r="B17" s="65" t="s">
        <v>63</v>
      </c>
      <c r="C17" s="52">
        <v>2009</v>
      </c>
      <c r="D17" s="1">
        <f t="shared" si="0"/>
        <v>692.33333333333337</v>
      </c>
      <c r="E17" s="233"/>
      <c r="F17" s="219"/>
      <c r="G17" s="120"/>
      <c r="H17" s="219"/>
      <c r="I17" s="205"/>
      <c r="J17" s="196"/>
      <c r="K17" s="186"/>
      <c r="L17" s="170">
        <f>0</f>
        <v>0</v>
      </c>
      <c r="M17" s="50">
        <f>21+9</f>
        <v>30</v>
      </c>
      <c r="N17" s="50"/>
      <c r="O17" s="219">
        <f t="shared" si="1"/>
        <v>653.33333333333337</v>
      </c>
      <c r="P17" s="120">
        <f>9</f>
        <v>9</v>
      </c>
      <c r="Q17" s="96">
        <f t="shared" si="2"/>
        <v>683.33333333333337</v>
      </c>
      <c r="R17" s="97">
        <f t="shared" si="3"/>
        <v>692.33333333333337</v>
      </c>
      <c r="S17" s="22"/>
      <c r="T17" s="233"/>
      <c r="U17" s="50">
        <f>33</f>
        <v>33</v>
      </c>
      <c r="V17" s="50">
        <f>207+69</f>
        <v>276</v>
      </c>
      <c r="W17" s="50">
        <f>21+15</f>
        <v>36</v>
      </c>
      <c r="X17" s="50">
        <f>AL17</f>
        <v>305.33333333333337</v>
      </c>
      <c r="Y17" s="120">
        <f>3</f>
        <v>3</v>
      </c>
      <c r="Z17" s="96">
        <f t="shared" si="5"/>
        <v>650.33333333333337</v>
      </c>
      <c r="AA17" s="97">
        <f t="shared" si="6"/>
        <v>653.33333333333337</v>
      </c>
      <c r="AB17" s="22"/>
      <c r="AC17" s="50">
        <f>3</f>
        <v>3</v>
      </c>
      <c r="AD17" s="50">
        <f>36</f>
        <v>36</v>
      </c>
      <c r="AE17" s="50"/>
      <c r="AF17" s="50">
        <f>24+12</f>
        <v>36</v>
      </c>
      <c r="AG17" s="50">
        <f>3</f>
        <v>3</v>
      </c>
      <c r="AH17" s="50">
        <f>39+6</f>
        <v>45</v>
      </c>
      <c r="AI17" s="233">
        <v>176.33333333333334</v>
      </c>
      <c r="AJ17" s="95">
        <f>6</f>
        <v>6</v>
      </c>
      <c r="AK17" s="96">
        <f>SUM(AC17:AI17)</f>
        <v>299.33333333333337</v>
      </c>
      <c r="AL17" s="97">
        <f>IF(C17=2010, AK17/3,AK17)+AJ17</f>
        <v>305.33333333333337</v>
      </c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57" x14ac:dyDescent="0.25">
      <c r="A18" s="60" t="s">
        <v>180</v>
      </c>
      <c r="B18" s="85" t="s">
        <v>64</v>
      </c>
      <c r="C18" s="62">
        <v>2009</v>
      </c>
      <c r="D18" s="1">
        <f t="shared" si="0"/>
        <v>317</v>
      </c>
      <c r="G18" s="154"/>
      <c r="I18" s="205"/>
      <c r="J18" s="196"/>
      <c r="K18" s="186"/>
      <c r="L18" s="170"/>
      <c r="M18" s="50"/>
      <c r="N18" s="50"/>
      <c r="O18" s="219">
        <f t="shared" si="1"/>
        <v>317</v>
      </c>
      <c r="P18" s="120"/>
      <c r="Q18" s="96">
        <f t="shared" si="2"/>
        <v>317</v>
      </c>
      <c r="R18" s="97">
        <f t="shared" si="3"/>
        <v>317</v>
      </c>
      <c r="S18" s="22"/>
      <c r="T18" s="233"/>
      <c r="U18" s="50">
        <f>24</f>
        <v>24</v>
      </c>
      <c r="V18" s="50"/>
      <c r="W18" s="50"/>
      <c r="X18" s="50">
        <f>AL18</f>
        <v>293</v>
      </c>
      <c r="Y18" s="120"/>
      <c r="Z18" s="96">
        <f t="shared" si="5"/>
        <v>317</v>
      </c>
      <c r="AA18" s="97">
        <f t="shared" si="6"/>
        <v>317</v>
      </c>
      <c r="AB18" s="22"/>
      <c r="AD18" s="13">
        <v>15</v>
      </c>
      <c r="AI18" s="13">
        <f>278</f>
        <v>278</v>
      </c>
      <c r="AJ18" s="95"/>
      <c r="AK18" s="96">
        <f>SUM(AC18:AI18)</f>
        <v>293</v>
      </c>
      <c r="AL18" s="97">
        <f>IF(C18=2010, AK18/3,AK18)+AJ18</f>
        <v>293</v>
      </c>
    </row>
    <row r="19" spans="1:57" x14ac:dyDescent="0.25">
      <c r="A19" s="11" t="s">
        <v>234</v>
      </c>
      <c r="B19" s="11" t="s">
        <v>0</v>
      </c>
      <c r="C19" s="3">
        <v>2012</v>
      </c>
      <c r="D19" s="1">
        <f t="shared" si="0"/>
        <v>587.66666666666663</v>
      </c>
      <c r="E19" s="233">
        <f>33+18</f>
        <v>51</v>
      </c>
      <c r="G19" s="120"/>
      <c r="I19" s="205">
        <f>120</f>
        <v>120</v>
      </c>
      <c r="J19" s="196">
        <f>72+15</f>
        <v>87</v>
      </c>
      <c r="K19" s="186">
        <f>54+15+6+3</f>
        <v>78</v>
      </c>
      <c r="L19" s="170">
        <f>72+21+6+9</f>
        <v>108</v>
      </c>
      <c r="M19" s="50">
        <f>69+12+15+9</f>
        <v>105</v>
      </c>
      <c r="N19" s="50">
        <f>54+3+3+6</f>
        <v>66</v>
      </c>
      <c r="O19" s="219">
        <f t="shared" si="1"/>
        <v>1046</v>
      </c>
      <c r="P19" s="120"/>
      <c r="Q19" s="96">
        <f t="shared" si="2"/>
        <v>1610</v>
      </c>
      <c r="R19" s="97">
        <f t="shared" si="3"/>
        <v>536.66666666666663</v>
      </c>
      <c r="S19" s="209"/>
      <c r="T19" s="209"/>
      <c r="U19" s="50"/>
      <c r="V19" s="50">
        <f>183+75</f>
        <v>258</v>
      </c>
      <c r="W19" s="50">
        <f>75+57+3+3</f>
        <v>138</v>
      </c>
      <c r="X19" s="50">
        <f>AL19</f>
        <v>650</v>
      </c>
      <c r="Y19" s="120"/>
      <c r="Z19" s="96">
        <f t="shared" si="5"/>
        <v>1046</v>
      </c>
      <c r="AA19" s="97">
        <f t="shared" si="6"/>
        <v>1046</v>
      </c>
      <c r="AB19" s="22"/>
      <c r="AC19" s="41"/>
      <c r="AD19" s="41"/>
      <c r="AE19" s="41">
        <f>84+15</f>
        <v>99</v>
      </c>
      <c r="AF19" s="41">
        <f>78+24</f>
        <v>102</v>
      </c>
      <c r="AG19" s="41">
        <f>21+45</f>
        <v>66</v>
      </c>
      <c r="AH19" s="41">
        <f>87+72+3+3</f>
        <v>165</v>
      </c>
      <c r="AI19" s="13">
        <f>218</f>
        <v>218</v>
      </c>
      <c r="AJ19" s="95"/>
      <c r="AK19" s="96">
        <f>SUM(AC19:AI19)</f>
        <v>650</v>
      </c>
      <c r="AL19" s="97">
        <f>IF(C19=2015, AK19/3,AK19)+AJ19</f>
        <v>650</v>
      </c>
    </row>
    <row r="20" spans="1:57" s="17" customFormat="1" x14ac:dyDescent="0.25">
      <c r="A20" s="253" t="s">
        <v>37</v>
      </c>
      <c r="B20" s="269"/>
      <c r="C20" s="270"/>
      <c r="D20" s="1">
        <f t="shared" ref="D20" si="8">R20+F20+E20</f>
        <v>0</v>
      </c>
      <c r="E20" s="233"/>
      <c r="F20" s="219"/>
      <c r="G20" s="120"/>
      <c r="H20" s="219"/>
      <c r="I20" s="205"/>
      <c r="J20" s="196"/>
      <c r="K20" s="186"/>
      <c r="L20" s="170"/>
      <c r="M20" s="50"/>
      <c r="N20" s="50"/>
      <c r="O20" s="219">
        <f t="shared" ref="O20" si="9">AA20</f>
        <v>0</v>
      </c>
      <c r="P20" s="50"/>
      <c r="Q20" s="96">
        <f t="shared" ref="Q20" si="10">I20+J20+K20+L20+M20+N20+O20</f>
        <v>0</v>
      </c>
      <c r="R20" s="97">
        <f t="shared" ref="R20" si="11">IF(C20=2012, Q20/3,Q20)+P20</f>
        <v>0</v>
      </c>
      <c r="S20" s="22"/>
      <c r="T20" s="50"/>
      <c r="U20" s="50"/>
      <c r="V20" s="50"/>
      <c r="W20" s="50"/>
      <c r="X20" s="50"/>
      <c r="Y20" s="50"/>
      <c r="Z20" s="96">
        <f t="shared" ref="Z20" si="12">SUM(T20:X20)</f>
        <v>0</v>
      </c>
      <c r="AA20" s="97">
        <f t="shared" ref="AA20" si="13">IF(C20=2011, Z20/3,Z20)+Y20</f>
        <v>0</v>
      </c>
      <c r="AB20" s="22"/>
      <c r="AC20" s="22"/>
      <c r="AD20" s="22"/>
      <c r="AE20" s="22"/>
      <c r="AF20" s="22"/>
      <c r="AG20" s="22"/>
      <c r="AH20" s="22"/>
      <c r="AI20" s="22"/>
      <c r="AJ20" s="68"/>
      <c r="AK20" s="68"/>
      <c r="AL20" s="68"/>
    </row>
    <row r="21" spans="1:57" x14ac:dyDescent="0.25">
      <c r="A21" s="11" t="s">
        <v>360</v>
      </c>
      <c r="B21" s="83" t="s">
        <v>63</v>
      </c>
      <c r="C21" s="17">
        <v>2009</v>
      </c>
      <c r="D21" s="1">
        <f>R21+F21+E21</f>
        <v>28</v>
      </c>
      <c r="G21" s="120"/>
      <c r="I21" s="205"/>
      <c r="J21" s="196"/>
      <c r="K21" s="186"/>
      <c r="L21" s="170"/>
      <c r="M21" s="50"/>
      <c r="N21" s="50"/>
      <c r="O21" s="219">
        <f>AA21</f>
        <v>28</v>
      </c>
      <c r="P21" s="120"/>
      <c r="Q21" s="96">
        <f>I21+J21+K21+L21+M21+N21+O21</f>
        <v>28</v>
      </c>
      <c r="R21" s="97">
        <f>IF(C21=2012, Q21/3,Q21)+P21</f>
        <v>28</v>
      </c>
      <c r="S21" s="22"/>
      <c r="T21" s="205"/>
      <c r="U21" s="50"/>
      <c r="V21" s="50">
        <f>12</f>
        <v>12</v>
      </c>
      <c r="W21" s="50"/>
      <c r="X21" s="50">
        <f>AL21</f>
        <v>16</v>
      </c>
      <c r="Y21" s="120"/>
      <c r="Z21" s="96">
        <f>SUM(T21:X21)</f>
        <v>28</v>
      </c>
      <c r="AA21" s="97">
        <f>IF(C21=2011, Z21/3,Z21)+Y21</f>
        <v>28</v>
      </c>
      <c r="AB21" s="22"/>
      <c r="AC21" s="22"/>
      <c r="AD21" s="22"/>
      <c r="AE21" s="22"/>
      <c r="AF21" s="13">
        <f>0</f>
        <v>0</v>
      </c>
      <c r="AI21" s="13">
        <f>16</f>
        <v>16</v>
      </c>
      <c r="AJ21" s="95"/>
      <c r="AK21" s="96">
        <f>SUM(AC21:AI21)</f>
        <v>16</v>
      </c>
      <c r="AL21" s="97">
        <f>IF(C21=2010, AK21/3,AK21)+AJ21</f>
        <v>16</v>
      </c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1:57" x14ac:dyDescent="0.25">
      <c r="A22" s="60" t="s">
        <v>810</v>
      </c>
      <c r="B22" s="65" t="s">
        <v>587</v>
      </c>
      <c r="C22" s="62">
        <v>2010</v>
      </c>
      <c r="D22" s="1">
        <f>R22+F22+E22</f>
        <v>12</v>
      </c>
      <c r="E22" s="156"/>
      <c r="F22" s="156"/>
      <c r="G22" s="122"/>
      <c r="H22" s="156"/>
      <c r="I22" s="205"/>
      <c r="J22" s="196"/>
      <c r="K22" s="186"/>
      <c r="L22" s="170"/>
      <c r="M22" s="50"/>
      <c r="N22" s="50">
        <f>12</f>
        <v>12</v>
      </c>
      <c r="O22" s="219">
        <f>AA22</f>
        <v>0</v>
      </c>
      <c r="P22" s="120"/>
      <c r="Q22" s="96">
        <f>I22+J22+K22+L22+M22+N22+O22</f>
        <v>12</v>
      </c>
      <c r="R22" s="97">
        <f>IF(C22=2012, Q22/3,Q22)+P22</f>
        <v>12</v>
      </c>
      <c r="S22" s="22"/>
      <c r="T22" s="205"/>
      <c r="U22" s="50"/>
      <c r="V22" s="50"/>
      <c r="W22" s="50"/>
      <c r="X22" s="50"/>
      <c r="Y22" s="120"/>
      <c r="Z22" s="96">
        <f>SUM(T22:X22)</f>
        <v>0</v>
      </c>
      <c r="AA22" s="97">
        <f>IF(C22=2011, Z22/3,Z22)+Y22</f>
        <v>0</v>
      </c>
      <c r="AB22" s="22"/>
      <c r="AJ22" s="95"/>
      <c r="AK22" s="96"/>
      <c r="AL22" s="9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1:57" x14ac:dyDescent="0.25">
      <c r="A23" s="11" t="s">
        <v>555</v>
      </c>
      <c r="B23" s="60" t="s">
        <v>64</v>
      </c>
      <c r="C23" s="62">
        <v>2012</v>
      </c>
      <c r="D23" s="1">
        <f>R23+F23+E23</f>
        <v>9</v>
      </c>
      <c r="G23" s="120"/>
      <c r="I23" s="205"/>
      <c r="J23" s="196"/>
      <c r="K23" s="186"/>
      <c r="L23" s="170"/>
      <c r="M23" s="50"/>
      <c r="N23" s="50"/>
      <c r="O23" s="219">
        <f>AA23</f>
        <v>27</v>
      </c>
      <c r="P23" s="154"/>
      <c r="Q23" s="96">
        <f>I23+J23+K23+L23+M23+N23+O23</f>
        <v>27</v>
      </c>
      <c r="R23" s="97">
        <f>IF(C23=2012, Q23/3,Q23)+P23</f>
        <v>9</v>
      </c>
      <c r="S23" s="209"/>
      <c r="T23" s="209"/>
      <c r="U23" s="50"/>
      <c r="V23" s="50"/>
      <c r="W23" s="50">
        <f>27</f>
        <v>27</v>
      </c>
      <c r="X23" s="50"/>
      <c r="Y23" s="120"/>
      <c r="Z23" s="96">
        <f>SUM(T23:X23)</f>
        <v>27</v>
      </c>
      <c r="AA23" s="97">
        <f>IF(C23=2011, Z23/3,Z23)+Y23</f>
        <v>27</v>
      </c>
      <c r="AB23" s="22"/>
      <c r="AC23" s="205"/>
      <c r="AD23" s="205"/>
      <c r="AE23" s="205"/>
      <c r="AF23" s="205"/>
      <c r="AG23" s="205"/>
      <c r="AH23" s="205"/>
      <c r="AI23" s="22"/>
      <c r="AJ23" s="68"/>
      <c r="AK23" s="96">
        <f>SUM(AC23:AI23)</f>
        <v>0</v>
      </c>
      <c r="AL23" s="97">
        <f>IF(C23=2015, AK23/3,AK23)+AJ23</f>
        <v>0</v>
      </c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x14ac:dyDescent="0.25">
      <c r="A24" s="60" t="s">
        <v>923</v>
      </c>
      <c r="B24" s="65" t="s">
        <v>802</v>
      </c>
      <c r="C24" s="62"/>
      <c r="D24" s="1">
        <f>R24+F24+E24</f>
        <v>3</v>
      </c>
      <c r="G24" s="154"/>
      <c r="I24" s="205"/>
      <c r="J24" s="196"/>
      <c r="K24" s="191"/>
      <c r="L24" s="191">
        <f>3</f>
        <v>3</v>
      </c>
      <c r="M24" s="191"/>
      <c r="N24" s="191"/>
      <c r="O24" s="219">
        <f>AA24</f>
        <v>0</v>
      </c>
      <c r="P24" s="120"/>
      <c r="Q24" s="96">
        <f>I24+J24+K24+L24+M24+N24+O24</f>
        <v>3</v>
      </c>
      <c r="R24" s="97">
        <f>IF(C24=2012, Q24/3,Q24)+P24</f>
        <v>3</v>
      </c>
      <c r="S24" s="22"/>
      <c r="T24" s="205"/>
      <c r="U24" s="191"/>
      <c r="V24" s="191"/>
      <c r="W24" s="191"/>
      <c r="X24" s="191"/>
      <c r="Y24" s="120"/>
      <c r="Z24" s="96">
        <f>SUM(T24:X24)</f>
        <v>0</v>
      </c>
      <c r="AA24" s="97">
        <f>IF(C24=2011, Z24/3,Z24)+Y24</f>
        <v>0</v>
      </c>
      <c r="AB24" s="22"/>
      <c r="AJ24" s="95"/>
      <c r="AK24" s="96"/>
      <c r="AL24" s="9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1:57" x14ac:dyDescent="0.25">
      <c r="A25" s="11" t="s">
        <v>114</v>
      </c>
      <c r="B25" s="60" t="s">
        <v>86</v>
      </c>
      <c r="C25" s="62">
        <v>2011</v>
      </c>
      <c r="D25" s="1">
        <f>R25+F25+E25</f>
        <v>35.333333333333336</v>
      </c>
      <c r="G25" s="120"/>
      <c r="I25" s="205"/>
      <c r="J25" s="196"/>
      <c r="K25" s="186"/>
      <c r="L25" s="170"/>
      <c r="M25" s="50"/>
      <c r="N25" s="50"/>
      <c r="O25" s="219">
        <f>AA25</f>
        <v>35.333333333333336</v>
      </c>
      <c r="P25" s="120"/>
      <c r="Q25" s="96">
        <f>I25+J25+K25+L25+M25+N25+O25</f>
        <v>35.333333333333336</v>
      </c>
      <c r="R25" s="97">
        <f>IF(C25=2012, Q25/3,Q25)+P25</f>
        <v>35.333333333333336</v>
      </c>
      <c r="S25" s="237"/>
      <c r="T25" s="237"/>
      <c r="U25" s="50"/>
      <c r="V25" s="50"/>
      <c r="W25" s="50"/>
      <c r="X25" s="50">
        <f>AL25</f>
        <v>106</v>
      </c>
      <c r="Y25" s="120"/>
      <c r="Z25" s="96">
        <f>SUM(T25:X25)</f>
        <v>106</v>
      </c>
      <c r="AA25" s="97">
        <f>IF(C25=2011, Z25/3,Z25)+Y25</f>
        <v>35.333333333333336</v>
      </c>
      <c r="AB25" s="22"/>
      <c r="AC25" s="41"/>
      <c r="AD25" s="67">
        <f>39+6</f>
        <v>45</v>
      </c>
      <c r="AE25" s="41"/>
      <c r="AF25" s="41">
        <f>53+8</f>
        <v>61</v>
      </c>
      <c r="AG25" s="41"/>
      <c r="AH25" s="41"/>
      <c r="AJ25" s="95"/>
      <c r="AK25" s="96">
        <f>SUM(AC25:AI25)</f>
        <v>106</v>
      </c>
      <c r="AL25" s="97">
        <f>IF(C25=2015, AK25/3,AK25)+AJ25</f>
        <v>106</v>
      </c>
    </row>
    <row r="26" spans="1:57" x14ac:dyDescent="0.25">
      <c r="A26" s="11" t="s">
        <v>855</v>
      </c>
      <c r="B26" s="60" t="s">
        <v>406</v>
      </c>
      <c r="C26" s="62">
        <v>2012</v>
      </c>
      <c r="D26" s="1">
        <f>R26+F26+E26</f>
        <v>23</v>
      </c>
      <c r="G26" s="120"/>
      <c r="I26" s="205">
        <f>26</f>
        <v>26</v>
      </c>
      <c r="J26" s="196">
        <f>16</f>
        <v>16</v>
      </c>
      <c r="K26" s="186"/>
      <c r="L26" s="170">
        <f>16+4</f>
        <v>20</v>
      </c>
      <c r="M26" s="50">
        <f>0+7</f>
        <v>7</v>
      </c>
      <c r="N26" s="50"/>
      <c r="O26" s="219">
        <f>AA26</f>
        <v>0</v>
      </c>
      <c r="P26" s="120"/>
      <c r="Q26" s="96">
        <f>I26+J26+K26+L26+M26+N26+O26</f>
        <v>69</v>
      </c>
      <c r="R26" s="97">
        <f>IF(C26=2012, Q26/3,Q26)+P26</f>
        <v>23</v>
      </c>
      <c r="S26" s="238"/>
      <c r="T26" s="238"/>
      <c r="U26" s="50"/>
      <c r="V26" s="50"/>
      <c r="W26" s="50"/>
      <c r="X26" s="50">
        <f>AL26</f>
        <v>0</v>
      </c>
      <c r="Y26" s="120"/>
      <c r="Z26" s="96">
        <f>SUM(T26:X26)</f>
        <v>0</v>
      </c>
      <c r="AA26" s="97">
        <f>IF(C26=2011, Z26/3,Z26)+Y26</f>
        <v>0</v>
      </c>
      <c r="AB26" s="22"/>
      <c r="AC26" s="41"/>
      <c r="AD26" s="41"/>
      <c r="AE26" s="41"/>
      <c r="AF26" s="41"/>
      <c r="AG26" s="41">
        <f>0</f>
        <v>0</v>
      </c>
      <c r="AH26" s="41"/>
      <c r="AJ26" s="95"/>
      <c r="AK26" s="96">
        <f>SUM(AC26:AI26)</f>
        <v>0</v>
      </c>
      <c r="AL26" s="97">
        <f>IF(C26=2015, AK26/3,AK26)+AJ26</f>
        <v>0</v>
      </c>
    </row>
    <row r="27" spans="1:57" x14ac:dyDescent="0.25">
      <c r="A27" s="60" t="s">
        <v>496</v>
      </c>
      <c r="B27" s="65" t="s">
        <v>36</v>
      </c>
      <c r="C27" s="62">
        <v>2009</v>
      </c>
      <c r="D27" s="1">
        <f>R27+F27+E27</f>
        <v>127</v>
      </c>
      <c r="G27" s="120"/>
      <c r="I27" s="205"/>
      <c r="J27" s="196"/>
      <c r="K27" s="186"/>
      <c r="L27" s="170"/>
      <c r="M27" s="50"/>
      <c r="N27" s="50"/>
      <c r="O27" s="219">
        <f>AA27</f>
        <v>127</v>
      </c>
      <c r="P27" s="120"/>
      <c r="Q27" s="96">
        <f>I27+J27+K27+L27+M27+N27+O27</f>
        <v>127</v>
      </c>
      <c r="R27" s="97">
        <f>IF(C27=2012, Q27/3,Q27)+P27</f>
        <v>127</v>
      </c>
      <c r="S27" s="22"/>
      <c r="T27" s="237"/>
      <c r="U27" s="50">
        <f>17+15</f>
        <v>32</v>
      </c>
      <c r="V27" s="50">
        <f>22+16</f>
        <v>38</v>
      </c>
      <c r="W27" s="50">
        <f>16+9</f>
        <v>25</v>
      </c>
      <c r="X27" s="50">
        <f>AL27</f>
        <v>32</v>
      </c>
      <c r="Y27" s="120"/>
      <c r="Z27" s="96">
        <f>SUM(T27:X27)</f>
        <v>127</v>
      </c>
      <c r="AA27" s="97">
        <f>IF(C27=2011, Z27/3,Z27)+Y27</f>
        <v>127</v>
      </c>
      <c r="AB27" s="22"/>
      <c r="AH27" s="13">
        <f>16+12+4</f>
        <v>32</v>
      </c>
      <c r="AJ27" s="95"/>
      <c r="AK27" s="96">
        <f>SUM(AC27:AI27)</f>
        <v>32</v>
      </c>
      <c r="AL27" s="97">
        <f>IF(C27=2010, AK27/3,AK27)+AJ27</f>
        <v>32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</row>
    <row r="28" spans="1:57" x14ac:dyDescent="0.25">
      <c r="A28" s="11" t="s">
        <v>401</v>
      </c>
      <c r="B28" s="60" t="s">
        <v>111</v>
      </c>
      <c r="C28" s="62">
        <v>2012</v>
      </c>
      <c r="D28" s="1">
        <f>R28+F28+E28</f>
        <v>86.333333333333329</v>
      </c>
      <c r="G28" s="120"/>
      <c r="I28" s="205"/>
      <c r="J28" s="196"/>
      <c r="K28" s="186">
        <f>32</f>
        <v>32</v>
      </c>
      <c r="L28" s="170">
        <f>34</f>
        <v>34</v>
      </c>
      <c r="M28" s="50">
        <f>50</f>
        <v>50</v>
      </c>
      <c r="N28" s="50">
        <f>16</f>
        <v>16</v>
      </c>
      <c r="O28" s="219">
        <f>AA28</f>
        <v>82</v>
      </c>
      <c r="P28" s="120">
        <f>2+2+9+2</f>
        <v>15</v>
      </c>
      <c r="Q28" s="96">
        <f>I28+J28+K28+L28+M28+N28+O28</f>
        <v>214</v>
      </c>
      <c r="R28" s="97">
        <f>IF(C28=2012, Q28/3,Q28)+P28</f>
        <v>86.333333333333329</v>
      </c>
      <c r="S28" s="238"/>
      <c r="T28" s="238"/>
      <c r="U28" s="50"/>
      <c r="V28" s="50">
        <f>47+2</f>
        <v>49</v>
      </c>
      <c r="W28" s="50"/>
      <c r="X28" s="50">
        <f>AL28</f>
        <v>21</v>
      </c>
      <c r="Y28" s="120">
        <f>12</f>
        <v>12</v>
      </c>
      <c r="Z28" s="96">
        <f>SUM(T28:X28)</f>
        <v>70</v>
      </c>
      <c r="AA28" s="97">
        <f>IF(C28=2011, Z28/3,Z28)+Y28</f>
        <v>82</v>
      </c>
      <c r="AB28" s="22"/>
      <c r="AC28" s="41"/>
      <c r="AD28" s="41"/>
      <c r="AE28" s="41"/>
      <c r="AF28" s="41"/>
      <c r="AG28" s="41">
        <f>21</f>
        <v>21</v>
      </c>
      <c r="AH28" s="41">
        <f>0</f>
        <v>0</v>
      </c>
      <c r="AJ28" s="95"/>
      <c r="AK28" s="96">
        <f>SUM(AC28:AI28)</f>
        <v>21</v>
      </c>
      <c r="AL28" s="97">
        <f>IF(C28=2015, AK28/3,AK28)+AJ28</f>
        <v>21</v>
      </c>
    </row>
    <row r="29" spans="1:57" x14ac:dyDescent="0.25">
      <c r="A29" s="60" t="s">
        <v>653</v>
      </c>
      <c r="B29" s="65" t="s">
        <v>64</v>
      </c>
      <c r="C29" s="62">
        <v>2010</v>
      </c>
      <c r="D29" s="1">
        <f>R29+F29+E29</f>
        <v>55</v>
      </c>
      <c r="G29" s="120"/>
      <c r="I29" s="205"/>
      <c r="J29" s="196"/>
      <c r="K29" s="186"/>
      <c r="L29" s="170"/>
      <c r="M29" s="50">
        <f>18</f>
        <v>18</v>
      </c>
      <c r="N29" s="50">
        <f>9</f>
        <v>9</v>
      </c>
      <c r="O29" s="219">
        <f>AA29</f>
        <v>28</v>
      </c>
      <c r="P29" s="120"/>
      <c r="Q29" s="96">
        <f>I29+J29+K29+L29+M29+N29+O29</f>
        <v>55</v>
      </c>
      <c r="R29" s="97">
        <f>IF(C29=2012, Q29/3,Q29)+P29</f>
        <v>55</v>
      </c>
      <c r="S29" s="22"/>
      <c r="T29" s="205"/>
      <c r="U29" s="50"/>
      <c r="V29" s="50">
        <f>28</f>
        <v>28</v>
      </c>
      <c r="W29" s="50"/>
      <c r="X29" s="50"/>
      <c r="Y29" s="120"/>
      <c r="Z29" s="96">
        <f>SUM(T29:X29)</f>
        <v>28</v>
      </c>
      <c r="AA29" s="97">
        <f>IF(C29=2011, Z29/3,Z29)+Y29</f>
        <v>28</v>
      </c>
      <c r="AB29" s="22"/>
      <c r="AJ29" s="95"/>
      <c r="AK29" s="96"/>
      <c r="AL29" s="9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</row>
    <row r="30" spans="1:57" x14ac:dyDescent="0.25">
      <c r="A30" s="11" t="s">
        <v>319</v>
      </c>
      <c r="B30" s="60" t="s">
        <v>86</v>
      </c>
      <c r="C30" s="62">
        <v>2011</v>
      </c>
      <c r="D30" s="1">
        <f>R30+F30+E30</f>
        <v>0</v>
      </c>
      <c r="G30" s="120"/>
      <c r="I30" s="205"/>
      <c r="J30" s="196"/>
      <c r="K30" s="186"/>
      <c r="L30" s="170"/>
      <c r="M30" s="50"/>
      <c r="N30" s="50"/>
      <c r="O30" s="219">
        <f>AA30</f>
        <v>0</v>
      </c>
      <c r="P30" s="120"/>
      <c r="Q30" s="96">
        <f>I30+J30+K30+L30+M30+N30+O30</f>
        <v>0</v>
      </c>
      <c r="R30" s="97">
        <f>IF(C30=2012, Q30/3,Q30)+P30</f>
        <v>0</v>
      </c>
      <c r="S30" s="237"/>
      <c r="T30" s="237"/>
      <c r="U30" s="50"/>
      <c r="V30" s="50"/>
      <c r="W30" s="50"/>
      <c r="X30" s="50">
        <f>AL30</f>
        <v>0</v>
      </c>
      <c r="Y30" s="120"/>
      <c r="Z30" s="96">
        <f>SUM(T30:X30)</f>
        <v>0</v>
      </c>
      <c r="AA30" s="97">
        <f>IF(C30=2011, Z30/3,Z30)+Y30</f>
        <v>0</v>
      </c>
      <c r="AB30" s="22"/>
      <c r="AC30" s="41"/>
      <c r="AD30" s="41"/>
      <c r="AE30" s="41"/>
      <c r="AF30" s="41">
        <f>0</f>
        <v>0</v>
      </c>
      <c r="AG30" s="41"/>
      <c r="AH30" s="41"/>
      <c r="AJ30" s="95"/>
      <c r="AK30" s="96">
        <f>SUM(AC30:AI30)</f>
        <v>0</v>
      </c>
      <c r="AL30" s="97">
        <f>IF(C30=2015, AK30/3,AK30)+AJ30</f>
        <v>0</v>
      </c>
    </row>
    <row r="31" spans="1:57" x14ac:dyDescent="0.25">
      <c r="A31" s="11" t="s">
        <v>853</v>
      </c>
      <c r="B31" s="60" t="s">
        <v>85</v>
      </c>
      <c r="C31" s="62">
        <v>2012</v>
      </c>
      <c r="D31" s="1">
        <f>R31+F31+E31</f>
        <v>9.6666666666666661</v>
      </c>
      <c r="G31" s="237"/>
      <c r="I31" s="205"/>
      <c r="J31" s="196"/>
      <c r="K31" s="186"/>
      <c r="L31" s="170"/>
      <c r="M31" s="50">
        <f>22+4+3</f>
        <v>29</v>
      </c>
      <c r="N31" s="50"/>
      <c r="O31" s="219">
        <f>AA31</f>
        <v>0</v>
      </c>
      <c r="P31" s="154"/>
      <c r="Q31" s="96">
        <f>I31+J31+K31+L31+M31+N31+O31</f>
        <v>29</v>
      </c>
      <c r="R31" s="97">
        <f>IF(C31=2012, Q31/3,Q31)+P31</f>
        <v>9.6666666666666661</v>
      </c>
      <c r="S31" s="238"/>
      <c r="T31" s="238"/>
      <c r="U31" s="50"/>
      <c r="V31" s="50"/>
      <c r="W31" s="50"/>
      <c r="X31" s="50"/>
      <c r="Y31" s="120"/>
      <c r="Z31" s="96">
        <f>SUM(T31:X31)</f>
        <v>0</v>
      </c>
      <c r="AA31" s="97">
        <f>IF(C31=2011, Z31/3,Z31)+Y31</f>
        <v>0</v>
      </c>
      <c r="AB31" s="22"/>
      <c r="AC31" s="219"/>
      <c r="AD31" s="219"/>
      <c r="AE31" s="219"/>
      <c r="AF31" s="219"/>
      <c r="AG31" s="219"/>
      <c r="AH31" s="219"/>
      <c r="AI31" s="22"/>
      <c r="AJ31" s="68"/>
      <c r="AK31" s="96"/>
      <c r="AL31" s="9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</row>
    <row r="32" spans="1:57" ht="14.25" customHeight="1" x14ac:dyDescent="0.25">
      <c r="A32" s="11" t="s">
        <v>102</v>
      </c>
      <c r="B32" s="60" t="s">
        <v>64</v>
      </c>
      <c r="C32" s="62">
        <v>2011</v>
      </c>
      <c r="D32" s="1">
        <f>R32+F32+E32</f>
        <v>21</v>
      </c>
      <c r="G32" s="154"/>
      <c r="I32" s="205"/>
      <c r="J32" s="196">
        <f>0</f>
        <v>0</v>
      </c>
      <c r="K32" s="186"/>
      <c r="L32" s="170"/>
      <c r="M32" s="50">
        <f>15</f>
        <v>15</v>
      </c>
      <c r="N32" s="50">
        <f>0+6</f>
        <v>6</v>
      </c>
      <c r="O32" s="219">
        <f>AA32</f>
        <v>0</v>
      </c>
      <c r="P32" s="120"/>
      <c r="Q32" s="96">
        <f>I32+J32+K32+L32+M32+N32+O32</f>
        <v>21</v>
      </c>
      <c r="R32" s="97">
        <f>IF(C32=2012, Q32/3,Q32)+P32</f>
        <v>21</v>
      </c>
      <c r="S32" s="237"/>
      <c r="T32" s="205"/>
      <c r="U32" s="50"/>
      <c r="V32" s="50"/>
      <c r="W32" s="50">
        <f>0</f>
        <v>0</v>
      </c>
      <c r="X32" s="50">
        <f>AL32</f>
        <v>0</v>
      </c>
      <c r="Y32" s="120"/>
      <c r="Z32" s="96">
        <f>SUM(T32:X32)</f>
        <v>0</v>
      </c>
      <c r="AA32" s="97">
        <f>IF(C32=2016, Z32/3,Z32)+Y32</f>
        <v>0</v>
      </c>
      <c r="AB32" s="22"/>
      <c r="AC32" s="237"/>
      <c r="AD32" s="237">
        <v>0</v>
      </c>
      <c r="AE32" s="237"/>
      <c r="AF32" s="237"/>
      <c r="AG32" s="237"/>
      <c r="AH32" s="237"/>
      <c r="AI32" s="22"/>
      <c r="AJ32" s="95"/>
      <c r="AK32" s="96">
        <f>SUM(AC32:AI32)</f>
        <v>0</v>
      </c>
      <c r="AL32" s="97">
        <f>IF(C32=2015, AK32/3,AK32)+AJ32</f>
        <v>0</v>
      </c>
    </row>
    <row r="33" spans="1:57" x14ac:dyDescent="0.25">
      <c r="A33" s="60" t="s">
        <v>580</v>
      </c>
      <c r="B33" s="65" t="s">
        <v>64</v>
      </c>
      <c r="C33" s="62">
        <v>2010</v>
      </c>
      <c r="D33" s="1">
        <f>R33+F33+E33</f>
        <v>45</v>
      </c>
      <c r="G33" s="154"/>
      <c r="I33" s="205"/>
      <c r="J33" s="196"/>
      <c r="K33" s="191"/>
      <c r="L33" s="191"/>
      <c r="M33" s="191"/>
      <c r="N33" s="191"/>
      <c r="O33" s="219">
        <f>AA33</f>
        <v>45</v>
      </c>
      <c r="P33" s="120"/>
      <c r="Q33" s="96">
        <f>I33+J33+K33+L33+M33+N33+O33</f>
        <v>45</v>
      </c>
      <c r="R33" s="97">
        <f>IF(C33=2012, Q33/3,Q33)+P33</f>
        <v>45</v>
      </c>
      <c r="S33" s="22"/>
      <c r="T33" s="205"/>
      <c r="U33" s="191"/>
      <c r="V33" s="191">
        <f>39</f>
        <v>39</v>
      </c>
      <c r="W33" s="191">
        <f>3+3</f>
        <v>6</v>
      </c>
      <c r="X33" s="191">
        <v>0</v>
      </c>
      <c r="Y33" s="120"/>
      <c r="Z33" s="96">
        <f>SUM(T33:X33)</f>
        <v>45</v>
      </c>
      <c r="AA33" s="97">
        <f>IF(C33=2011, Z33/3,Z33)+Y33</f>
        <v>45</v>
      </c>
      <c r="AB33" s="22"/>
      <c r="AD33" s="13">
        <v>0</v>
      </c>
      <c r="AJ33" s="95"/>
      <c r="AK33" s="96"/>
      <c r="AL33" s="9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x14ac:dyDescent="0.25">
      <c r="A34" s="60" t="s">
        <v>642</v>
      </c>
      <c r="B34" s="65" t="s">
        <v>643</v>
      </c>
      <c r="C34" s="62"/>
      <c r="D34" s="1">
        <f>R34+F34+E34</f>
        <v>37</v>
      </c>
      <c r="G34" s="120"/>
      <c r="I34" s="205"/>
      <c r="J34" s="205"/>
      <c r="K34" s="205"/>
      <c r="L34" s="205"/>
      <c r="M34" s="205"/>
      <c r="N34" s="205"/>
      <c r="O34" s="219">
        <f>AA34</f>
        <v>37</v>
      </c>
      <c r="P34" s="120"/>
      <c r="Q34" s="96">
        <f>I34+J34+K34+L34+M34+N34+O34</f>
        <v>37</v>
      </c>
      <c r="R34" s="97">
        <f>IF(C34=2012, Q34/3,Q34)+P34</f>
        <v>37</v>
      </c>
      <c r="S34" s="22"/>
      <c r="T34" s="205"/>
      <c r="U34" s="50"/>
      <c r="V34" s="50">
        <f>37</f>
        <v>37</v>
      </c>
      <c r="W34" s="50"/>
      <c r="X34" s="50"/>
      <c r="Y34" s="120"/>
      <c r="Z34" s="96">
        <f>SUM(T34:X34)</f>
        <v>37</v>
      </c>
      <c r="AA34" s="97">
        <f>IF(C34=2011, Z34/3,Z34)+Y34</f>
        <v>37</v>
      </c>
      <c r="AB34" s="22"/>
      <c r="AJ34" s="95"/>
      <c r="AK34" s="96"/>
      <c r="AL34" s="9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</row>
    <row r="35" spans="1:57" x14ac:dyDescent="0.25">
      <c r="A35" s="60" t="s">
        <v>573</v>
      </c>
      <c r="B35" s="65" t="s">
        <v>64</v>
      </c>
      <c r="C35" s="62">
        <v>2010</v>
      </c>
      <c r="D35" s="1">
        <f>R35+F35+E35</f>
        <v>33</v>
      </c>
      <c r="G35" s="120"/>
      <c r="I35" s="205"/>
      <c r="J35" s="196"/>
      <c r="K35" s="191"/>
      <c r="L35" s="191"/>
      <c r="M35" s="191"/>
      <c r="N35" s="191"/>
      <c r="O35" s="219">
        <f>AA35</f>
        <v>33</v>
      </c>
      <c r="P35" s="120"/>
      <c r="Q35" s="96">
        <f>I35+J35+K35+L35+M35+N35+O35</f>
        <v>33</v>
      </c>
      <c r="R35" s="97">
        <f>IF(C35=2012, Q35/3,Q35)+P35</f>
        <v>33</v>
      </c>
      <c r="S35" s="22"/>
      <c r="T35" s="205"/>
      <c r="U35" s="50"/>
      <c r="V35" s="50">
        <f>12</f>
        <v>12</v>
      </c>
      <c r="W35" s="50">
        <f>21</f>
        <v>21</v>
      </c>
      <c r="X35" s="50"/>
      <c r="Y35" s="120"/>
      <c r="Z35" s="96">
        <f>SUM(T35:X35)</f>
        <v>33</v>
      </c>
      <c r="AA35" s="97">
        <f>IF(C35=2011, Z35/3,Z35)+Y35</f>
        <v>33</v>
      </c>
      <c r="AB35" s="22"/>
      <c r="AJ35" s="95"/>
      <c r="AK35" s="96"/>
      <c r="AL35" s="9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</row>
    <row r="36" spans="1:57" x14ac:dyDescent="0.25">
      <c r="A36" s="60" t="s">
        <v>784</v>
      </c>
      <c r="B36" s="65" t="s">
        <v>633</v>
      </c>
      <c r="C36" s="62">
        <v>2011</v>
      </c>
      <c r="D36" s="1">
        <f>R36+F36+E36</f>
        <v>28</v>
      </c>
      <c r="G36" s="120"/>
      <c r="I36" s="205"/>
      <c r="J36" s="196"/>
      <c r="K36" s="186"/>
      <c r="L36" s="170"/>
      <c r="M36" s="50">
        <f>0+5</f>
        <v>5</v>
      </c>
      <c r="N36" s="50">
        <f>19+4</f>
        <v>23</v>
      </c>
      <c r="O36" s="219">
        <f>AA36</f>
        <v>0</v>
      </c>
      <c r="P36" s="120"/>
      <c r="Q36" s="96">
        <f>I36+J36+K36+L36+M36+N36+O36</f>
        <v>28</v>
      </c>
      <c r="R36" s="97">
        <f>IF(C36=2012, Q36/3,Q36)+P36</f>
        <v>28</v>
      </c>
      <c r="S36" s="22"/>
      <c r="T36" s="205"/>
      <c r="U36" s="50"/>
      <c r="V36" s="50"/>
      <c r="W36" s="50"/>
      <c r="X36" s="50"/>
      <c r="Y36" s="120"/>
      <c r="Z36" s="96">
        <f>SUM(T36:X36)</f>
        <v>0</v>
      </c>
      <c r="AA36" s="97"/>
      <c r="AB36" s="22"/>
      <c r="AJ36" s="95"/>
      <c r="AK36" s="96"/>
      <c r="AL36" s="9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</row>
    <row r="37" spans="1:57" x14ac:dyDescent="0.25">
      <c r="A37" s="11" t="s">
        <v>324</v>
      </c>
      <c r="B37" s="60" t="s">
        <v>86</v>
      </c>
      <c r="C37" s="62">
        <v>2010</v>
      </c>
      <c r="D37" s="1">
        <f>R37+F37+E37</f>
        <v>0</v>
      </c>
      <c r="G37" s="154"/>
      <c r="I37" s="205"/>
      <c r="J37" s="196"/>
      <c r="K37" s="186"/>
      <c r="L37" s="170"/>
      <c r="M37" s="50"/>
      <c r="N37" s="50"/>
      <c r="O37" s="219">
        <f>AA37</f>
        <v>0</v>
      </c>
      <c r="P37" s="120"/>
      <c r="Q37" s="96">
        <f>I37+J37+K37+L37+M37+N37+O37</f>
        <v>0</v>
      </c>
      <c r="R37" s="97">
        <f>IF(C37=2012, Q37/3,Q37)+P37</f>
        <v>0</v>
      </c>
      <c r="S37" s="22"/>
      <c r="T37" s="237"/>
      <c r="U37" s="50"/>
      <c r="V37" s="50"/>
      <c r="W37" s="50"/>
      <c r="X37" s="50">
        <f>AL37</f>
        <v>0</v>
      </c>
      <c r="Y37" s="120"/>
      <c r="Z37" s="96">
        <f>SUM(T37:X37)</f>
        <v>0</v>
      </c>
      <c r="AA37" s="97">
        <f>IF(C37=2011, Z37/3,Z37)+Y37</f>
        <v>0</v>
      </c>
      <c r="AB37" s="22"/>
      <c r="AC37" s="41"/>
      <c r="AD37" s="41"/>
      <c r="AE37" s="41"/>
      <c r="AF37" s="41">
        <f>0</f>
        <v>0</v>
      </c>
      <c r="AG37" s="41"/>
      <c r="AH37" s="41"/>
      <c r="AJ37" s="95"/>
      <c r="AK37" s="96">
        <f>SUM(AC37:AI37)</f>
        <v>0</v>
      </c>
      <c r="AL37" s="97">
        <f>IF(C37=2010, AK37/3,AK37)+AJ37</f>
        <v>0</v>
      </c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</row>
    <row r="38" spans="1:57" x14ac:dyDescent="0.25">
      <c r="A38" s="11" t="s">
        <v>867</v>
      </c>
      <c r="B38" s="60" t="s">
        <v>85</v>
      </c>
      <c r="C38" s="62">
        <v>2012</v>
      </c>
      <c r="D38" s="1">
        <f>R38+F38+E38</f>
        <v>2.3333333333333335</v>
      </c>
      <c r="G38" s="120"/>
      <c r="I38" s="205"/>
      <c r="J38" s="196"/>
      <c r="K38" s="186"/>
      <c r="L38" s="170"/>
      <c r="M38" s="50">
        <f>4+3</f>
        <v>7</v>
      </c>
      <c r="N38" s="50"/>
      <c r="O38" s="219">
        <f>AA38</f>
        <v>0</v>
      </c>
      <c r="P38" s="154"/>
      <c r="Q38" s="96">
        <f>I38+J38+K38+L38+M38+N38+O38</f>
        <v>7</v>
      </c>
      <c r="R38" s="97">
        <f>IF(C38=2012, Q38/3,Q38)+P38</f>
        <v>2.3333333333333335</v>
      </c>
      <c r="S38" s="238"/>
      <c r="T38" s="238"/>
      <c r="U38" s="50"/>
      <c r="V38" s="50"/>
      <c r="W38" s="50"/>
      <c r="X38" s="50"/>
      <c r="Y38" s="120"/>
      <c r="Z38" s="96">
        <f>SUM(T38:X38)</f>
        <v>0</v>
      </c>
      <c r="AA38" s="97">
        <f>IF(C38=2011, Z38/3,Z38)+Y38</f>
        <v>0</v>
      </c>
      <c r="AB38" s="22"/>
      <c r="AC38" s="237"/>
      <c r="AD38" s="237"/>
      <c r="AE38" s="237"/>
      <c r="AF38" s="237"/>
      <c r="AG38" s="237"/>
      <c r="AH38" s="237"/>
      <c r="AI38" s="22"/>
      <c r="AJ38" s="68"/>
      <c r="AK38" s="96"/>
      <c r="AL38" s="9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</row>
    <row r="39" spans="1:57" x14ac:dyDescent="0.25">
      <c r="A39" s="11" t="s">
        <v>669</v>
      </c>
      <c r="B39" s="11" t="s">
        <v>633</v>
      </c>
      <c r="C39" s="3">
        <v>2009</v>
      </c>
      <c r="D39" s="1">
        <f>R39+F39+E39</f>
        <v>165</v>
      </c>
      <c r="E39" s="237"/>
      <c r="F39" s="237"/>
      <c r="G39" s="154"/>
      <c r="H39" s="237"/>
      <c r="I39" s="205"/>
      <c r="J39" s="196"/>
      <c r="K39" s="186"/>
      <c r="L39" s="170"/>
      <c r="M39" s="50">
        <f>0+15</f>
        <v>15</v>
      </c>
      <c r="N39" s="50"/>
      <c r="O39" s="219">
        <f>AA39</f>
        <v>150</v>
      </c>
      <c r="P39" s="120"/>
      <c r="Q39" s="96">
        <f>I39+J39+K39+L39+M39+N39+O39</f>
        <v>165</v>
      </c>
      <c r="R39" s="97">
        <f>IF(C39=2012, Q39/3,Q39)+P39</f>
        <v>165</v>
      </c>
      <c r="S39" s="22"/>
      <c r="T39" s="205"/>
      <c r="U39" s="50"/>
      <c r="V39" s="50">
        <f>39+63</f>
        <v>102</v>
      </c>
      <c r="W39" s="50"/>
      <c r="X39" s="50">
        <f>48</f>
        <v>48</v>
      </c>
      <c r="Y39" s="120"/>
      <c r="Z39" s="96">
        <f>SUM(T39:X39)</f>
        <v>150</v>
      </c>
      <c r="AA39" s="97">
        <f>IF(C39=2011, Z39/3,Z39)+Y39</f>
        <v>150</v>
      </c>
      <c r="AB39" s="22"/>
      <c r="AJ39" s="95"/>
      <c r="AK39" s="96"/>
      <c r="AL39" s="97"/>
    </row>
    <row r="40" spans="1:57" x14ac:dyDescent="0.25">
      <c r="A40" s="60" t="s">
        <v>515</v>
      </c>
      <c r="B40" s="65" t="s">
        <v>86</v>
      </c>
      <c r="C40" s="62">
        <v>2009</v>
      </c>
      <c r="D40" s="1">
        <f>R40+F40+E40</f>
        <v>42</v>
      </c>
      <c r="E40" s="108"/>
      <c r="F40" s="108"/>
      <c r="G40" s="122"/>
      <c r="H40" s="108"/>
      <c r="I40" s="205"/>
      <c r="J40" s="196"/>
      <c r="K40" s="186"/>
      <c r="L40" s="170"/>
      <c r="M40" s="50"/>
      <c r="N40" s="50"/>
      <c r="O40" s="219">
        <f>AA40</f>
        <v>42</v>
      </c>
      <c r="P40" s="120"/>
      <c r="Q40" s="96">
        <f>I40+J40+K40+L40+M40+N40+O40</f>
        <v>42</v>
      </c>
      <c r="R40" s="97">
        <f>IF(C40=2012, Q40/3,Q40)+P40</f>
        <v>42</v>
      </c>
      <c r="S40" s="22"/>
      <c r="T40" s="219"/>
      <c r="U40" s="50"/>
      <c r="V40" s="50"/>
      <c r="W40" s="50"/>
      <c r="X40" s="50">
        <f>AL40</f>
        <v>42</v>
      </c>
      <c r="Y40" s="120"/>
      <c r="Z40" s="96">
        <f>SUM(T40:X40)</f>
        <v>42</v>
      </c>
      <c r="AA40" s="97">
        <f>IF(C40=2011, Z40/3,Z40)+Y40</f>
        <v>42</v>
      </c>
      <c r="AB40" s="22"/>
      <c r="AH40" s="13">
        <f>39</f>
        <v>39</v>
      </c>
      <c r="AJ40" s="95">
        <f>3</f>
        <v>3</v>
      </c>
      <c r="AK40" s="96">
        <f>SUM(AC40:AI40)</f>
        <v>39</v>
      </c>
      <c r="AL40" s="97">
        <f>IF(C40=2010, AK40/3,AK40)+AJ40</f>
        <v>42</v>
      </c>
    </row>
    <row r="41" spans="1:57" x14ac:dyDescent="0.25">
      <c r="A41" s="60" t="s">
        <v>796</v>
      </c>
      <c r="B41" s="65" t="s">
        <v>633</v>
      </c>
      <c r="C41" s="62">
        <v>2009</v>
      </c>
      <c r="D41" s="1">
        <f>R41+F41+E41</f>
        <v>12</v>
      </c>
      <c r="G41" s="120"/>
      <c r="I41" s="205"/>
      <c r="J41" s="196"/>
      <c r="K41" s="186"/>
      <c r="L41" s="170"/>
      <c r="M41" s="50"/>
      <c r="N41" s="50">
        <f>0+12</f>
        <v>12</v>
      </c>
      <c r="O41" s="219">
        <f>AA41</f>
        <v>0</v>
      </c>
      <c r="P41" s="120"/>
      <c r="Q41" s="96">
        <f>I41+J41+K41+L41+M41+N41+O41</f>
        <v>12</v>
      </c>
      <c r="R41" s="97">
        <f>IF(C41=2012, Q41/3,Q41)+P41</f>
        <v>12</v>
      </c>
      <c r="S41" s="22"/>
      <c r="T41" s="219"/>
      <c r="U41" s="50"/>
      <c r="V41" s="50"/>
      <c r="W41" s="50"/>
      <c r="X41" s="50"/>
      <c r="Y41" s="120"/>
      <c r="Z41" s="96">
        <f>SUM(T41:X41)</f>
        <v>0</v>
      </c>
      <c r="AA41" s="97"/>
      <c r="AB41" s="22"/>
      <c r="AJ41" s="95"/>
      <c r="AK41" s="96"/>
      <c r="AL41" s="9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</row>
    <row r="42" spans="1:57" x14ac:dyDescent="0.25">
      <c r="A42" s="60" t="s">
        <v>926</v>
      </c>
      <c r="B42" s="65" t="s">
        <v>64</v>
      </c>
      <c r="C42" s="62"/>
      <c r="D42" s="1">
        <f>R42+F42+E42</f>
        <v>3</v>
      </c>
      <c r="G42" s="237"/>
      <c r="I42" s="205"/>
      <c r="J42" s="196"/>
      <c r="K42" s="186"/>
      <c r="L42" s="170">
        <f>3</f>
        <v>3</v>
      </c>
      <c r="M42" s="50"/>
      <c r="N42" s="50"/>
      <c r="O42" s="219">
        <f>AA42</f>
        <v>0</v>
      </c>
      <c r="P42" s="120"/>
      <c r="Q42" s="96">
        <f>I42+J42+K42+L42+M42+N42+O42</f>
        <v>3</v>
      </c>
      <c r="R42" s="97">
        <f>IF(C42=2012, Q42/3,Q42)+P42</f>
        <v>3</v>
      </c>
      <c r="S42" s="22"/>
      <c r="T42" s="237"/>
      <c r="U42" s="50"/>
      <c r="V42" s="50"/>
      <c r="W42" s="50"/>
      <c r="X42" s="50"/>
      <c r="Y42" s="120"/>
      <c r="Z42" s="96">
        <f>SUM(T42:X42)</f>
        <v>0</v>
      </c>
      <c r="AA42" s="97">
        <f>IF(C42=2011, Z42/3,Z42)+Y42</f>
        <v>0</v>
      </c>
      <c r="AB42" s="22"/>
      <c r="AJ42" s="95"/>
      <c r="AK42" s="96"/>
      <c r="AL42" s="9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</row>
    <row r="43" spans="1:57" x14ac:dyDescent="0.25">
      <c r="A43" s="11" t="s">
        <v>122</v>
      </c>
      <c r="B43" s="60" t="s">
        <v>86</v>
      </c>
      <c r="C43" s="62">
        <v>2011</v>
      </c>
      <c r="D43" s="1">
        <f>R43+F43+E43</f>
        <v>24.666666666666668</v>
      </c>
      <c r="G43" s="120"/>
      <c r="I43" s="205"/>
      <c r="J43" s="196"/>
      <c r="K43" s="186"/>
      <c r="L43" s="170"/>
      <c r="M43" s="50"/>
      <c r="N43" s="50"/>
      <c r="O43" s="219">
        <f>AA43</f>
        <v>24.666666666666668</v>
      </c>
      <c r="P43" s="120"/>
      <c r="Q43" s="96">
        <f>I43+J43+K43+L43+M43+N43+O43</f>
        <v>24.666666666666668</v>
      </c>
      <c r="R43" s="97">
        <f>IF(C43=2012, Q43/3,Q43)+P43</f>
        <v>24.666666666666668</v>
      </c>
      <c r="S43" s="237"/>
      <c r="T43" s="237"/>
      <c r="U43" s="50"/>
      <c r="V43" s="50"/>
      <c r="W43" s="50"/>
      <c r="X43" s="50">
        <f>AL43</f>
        <v>74</v>
      </c>
      <c r="Y43" s="120"/>
      <c r="Z43" s="96">
        <f>SUM(T43:X43)</f>
        <v>74</v>
      </c>
      <c r="AA43" s="97">
        <f>IF(C43=2011, Z43/3,Z43)+Y43</f>
        <v>24.666666666666668</v>
      </c>
      <c r="AB43" s="22"/>
      <c r="AC43" s="41"/>
      <c r="AD43" s="41">
        <f>27+1</f>
        <v>28</v>
      </c>
      <c r="AE43" s="41"/>
      <c r="AF43" s="41">
        <f>45+1</f>
        <v>46</v>
      </c>
      <c r="AG43" s="41"/>
      <c r="AH43" s="41"/>
      <c r="AJ43" s="95"/>
      <c r="AK43" s="96">
        <f>SUM(AC43:AI43)</f>
        <v>74</v>
      </c>
      <c r="AL43" s="97">
        <f>IF(C43=2015, AK43/3,AK43)+AJ43</f>
        <v>74</v>
      </c>
    </row>
    <row r="44" spans="1:57" x14ac:dyDescent="0.25">
      <c r="A44" s="11" t="s">
        <v>128</v>
      </c>
      <c r="B44" s="60" t="s">
        <v>63</v>
      </c>
      <c r="C44" s="62">
        <v>2012</v>
      </c>
      <c r="D44" s="1">
        <f>R44+F44+E44</f>
        <v>69</v>
      </c>
      <c r="E44" s="237"/>
      <c r="F44" s="237"/>
      <c r="G44" s="154"/>
      <c r="H44" s="237"/>
      <c r="I44" s="205"/>
      <c r="J44" s="196"/>
      <c r="K44" s="186"/>
      <c r="L44" s="170"/>
      <c r="M44" s="170"/>
      <c r="N44" s="170"/>
      <c r="O44" s="219">
        <f>AA44</f>
        <v>207</v>
      </c>
      <c r="P44" s="120"/>
      <c r="Q44" s="96">
        <f>I44+J44+K44+L44+M44+N44+O44</f>
        <v>207</v>
      </c>
      <c r="R44" s="97">
        <f>IF(C44=2012, Q44/3,Q44)+P44</f>
        <v>69</v>
      </c>
      <c r="S44" s="238"/>
      <c r="T44" s="238"/>
      <c r="U44" s="170"/>
      <c r="V44" s="170">
        <f>12+33</f>
        <v>45</v>
      </c>
      <c r="W44" s="170">
        <f>38+45</f>
        <v>83</v>
      </c>
      <c r="X44" s="170">
        <f>AL44</f>
        <v>79</v>
      </c>
      <c r="Y44" s="120"/>
      <c r="Z44" s="96">
        <f>SUM(T44:X44)</f>
        <v>207</v>
      </c>
      <c r="AA44" s="97">
        <f>IF(C44=2011, Z44/3,Z44)+Y44</f>
        <v>207</v>
      </c>
      <c r="AB44" s="22"/>
      <c r="AC44" s="41"/>
      <c r="AD44" s="41">
        <v>20</v>
      </c>
      <c r="AE44" s="41">
        <f>6</f>
        <v>6</v>
      </c>
      <c r="AF44" s="41">
        <f>18</f>
        <v>18</v>
      </c>
      <c r="AG44" s="41"/>
      <c r="AH44" s="41">
        <f>20+15</f>
        <v>35</v>
      </c>
      <c r="AJ44" s="95"/>
      <c r="AK44" s="96">
        <f>SUM(AC44:AI44)</f>
        <v>79</v>
      </c>
      <c r="AL44" s="97">
        <f>IF(C44=2015, AK44/3,AK44)+AJ44</f>
        <v>79</v>
      </c>
    </row>
    <row r="45" spans="1:57" x14ac:dyDescent="0.25">
      <c r="A45" s="11" t="s">
        <v>600</v>
      </c>
      <c r="B45" s="60" t="s">
        <v>0</v>
      </c>
      <c r="C45" s="3">
        <v>2012</v>
      </c>
      <c r="D45" s="1">
        <f>R45+F45+E45</f>
        <v>164.33333333333334</v>
      </c>
      <c r="E45" s="237"/>
      <c r="F45" s="237"/>
      <c r="G45" s="154"/>
      <c r="H45" s="237"/>
      <c r="I45" s="205"/>
      <c r="J45" s="196"/>
      <c r="K45" s="186"/>
      <c r="L45" s="170"/>
      <c r="M45" s="50"/>
      <c r="N45" s="50"/>
      <c r="O45" s="219">
        <f>AA45</f>
        <v>493</v>
      </c>
      <c r="P45" s="120"/>
      <c r="Q45" s="96">
        <f>I45+J45+K45+L45+M45+N45+O45</f>
        <v>493</v>
      </c>
      <c r="R45" s="97">
        <f>IF(C45=2012, Q45/3,Q45)+P45</f>
        <v>164.33333333333334</v>
      </c>
      <c r="S45" s="238"/>
      <c r="T45" s="238"/>
      <c r="U45" s="50">
        <f>30+54</f>
        <v>84</v>
      </c>
      <c r="V45" s="50">
        <f>66+69</f>
        <v>135</v>
      </c>
      <c r="W45" s="50">
        <f>63+21+3</f>
        <v>87</v>
      </c>
      <c r="X45" s="50">
        <f>AL45</f>
        <v>187</v>
      </c>
      <c r="Y45" s="120"/>
      <c r="Z45" s="96">
        <f>SUM(T45:X45)</f>
        <v>493</v>
      </c>
      <c r="AA45" s="97">
        <f>IF(C45=2016, Z45/3,Z45)+Y45</f>
        <v>493</v>
      </c>
      <c r="AB45" s="22"/>
      <c r="AC45" s="237"/>
      <c r="AD45" s="237"/>
      <c r="AE45" s="237"/>
      <c r="AF45" s="237"/>
      <c r="AG45" s="237">
        <f>42</f>
        <v>42</v>
      </c>
      <c r="AH45" s="237">
        <f>40+48</f>
        <v>88</v>
      </c>
      <c r="AI45" s="22">
        <f>57</f>
        <v>57</v>
      </c>
      <c r="AJ45" s="95"/>
      <c r="AK45" s="96">
        <f>SUM(AC45:AI45)</f>
        <v>187</v>
      </c>
      <c r="AL45" s="97">
        <f>IF(C45=2015, AK45/3,AK45)+AJ45</f>
        <v>187</v>
      </c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</row>
    <row r="46" spans="1:57" x14ac:dyDescent="0.25">
      <c r="A46" s="11" t="s">
        <v>117</v>
      </c>
      <c r="B46" s="60" t="s">
        <v>86</v>
      </c>
      <c r="C46" s="62">
        <v>2010</v>
      </c>
      <c r="D46" s="1">
        <f>R46+F46+E46</f>
        <v>22</v>
      </c>
      <c r="E46" s="156"/>
      <c r="F46" s="156"/>
      <c r="G46" s="122"/>
      <c r="H46" s="156"/>
      <c r="I46" s="205"/>
      <c r="J46" s="205"/>
      <c r="K46" s="205"/>
      <c r="L46" s="205"/>
      <c r="M46" s="205"/>
      <c r="N46" s="205"/>
      <c r="O46" s="219">
        <f>AA46</f>
        <v>22</v>
      </c>
      <c r="P46" s="120"/>
      <c r="Q46" s="96">
        <f>I46+J46+K46+L46+M46+N46+O46</f>
        <v>22</v>
      </c>
      <c r="R46" s="97">
        <f>IF(C46=2012, Q46/3,Q46)+P46</f>
        <v>22</v>
      </c>
      <c r="S46" s="22"/>
      <c r="T46" s="219"/>
      <c r="U46" s="50"/>
      <c r="V46" s="50"/>
      <c r="W46" s="50"/>
      <c r="X46" s="50">
        <f>AL46</f>
        <v>22</v>
      </c>
      <c r="Y46" s="120"/>
      <c r="Z46" s="96">
        <f>SUM(T46:X46)</f>
        <v>22</v>
      </c>
      <c r="AA46" s="97">
        <f>IF(C46=2011, Z46/3,Z46)+Y46</f>
        <v>22</v>
      </c>
      <c r="AB46" s="22"/>
      <c r="AC46" s="41"/>
      <c r="AD46" s="41">
        <f>36+1</f>
        <v>37</v>
      </c>
      <c r="AE46" s="41"/>
      <c r="AF46" s="41">
        <f>28+1</f>
        <v>29</v>
      </c>
      <c r="AG46" s="41"/>
      <c r="AH46" s="41"/>
      <c r="AJ46" s="95"/>
      <c r="AK46" s="96">
        <f>SUM(AC46:AI46)</f>
        <v>66</v>
      </c>
      <c r="AL46" s="97">
        <f>IF(C46=2010, AK46/3,AK46)+AJ46</f>
        <v>22</v>
      </c>
    </row>
    <row r="47" spans="1:57" x14ac:dyDescent="0.25">
      <c r="A47" s="71" t="s">
        <v>280</v>
      </c>
      <c r="B47" s="19" t="s">
        <v>232</v>
      </c>
      <c r="C47" s="72">
        <v>2009</v>
      </c>
      <c r="D47" s="1">
        <f>R47+F47+E47</f>
        <v>42</v>
      </c>
      <c r="E47" s="156"/>
      <c r="F47" s="156"/>
      <c r="G47" s="122"/>
      <c r="H47" s="156"/>
      <c r="I47" s="205"/>
      <c r="J47" s="196"/>
      <c r="K47" s="186"/>
      <c r="L47" s="170"/>
      <c r="M47" s="50"/>
      <c r="N47" s="50"/>
      <c r="O47" s="219">
        <f>AA47</f>
        <v>42</v>
      </c>
      <c r="P47" s="120"/>
      <c r="Q47" s="96">
        <f>I47+J47+K47+L47+M47+N47+O47</f>
        <v>42</v>
      </c>
      <c r="R47" s="97">
        <f>IF(C47=2012, Q47/3,Q47)+P47</f>
        <v>42</v>
      </c>
      <c r="S47" s="22"/>
      <c r="T47" s="205"/>
      <c r="U47" s="50"/>
      <c r="V47" s="50">
        <f>4</f>
        <v>4</v>
      </c>
      <c r="W47" s="50">
        <f>12</f>
        <v>12</v>
      </c>
      <c r="X47" s="50">
        <f>AL47</f>
        <v>26</v>
      </c>
      <c r="Y47" s="120"/>
      <c r="Z47" s="96">
        <f>SUM(T47:X47)</f>
        <v>42</v>
      </c>
      <c r="AA47" s="97">
        <f>IF(C47=2011, Z47/3,Z47)+Y47</f>
        <v>42</v>
      </c>
      <c r="AB47" s="22"/>
      <c r="AE47" s="13">
        <v>6</v>
      </c>
      <c r="AH47" s="13">
        <f>20</f>
        <v>20</v>
      </c>
      <c r="AJ47" s="95"/>
      <c r="AK47" s="96">
        <f>SUM(AC47:AI47)</f>
        <v>26</v>
      </c>
      <c r="AL47" s="97">
        <f>IF(C47=2010, AK47/3,AK47)+AJ47</f>
        <v>26</v>
      </c>
    </row>
    <row r="48" spans="1:57" x14ac:dyDescent="0.25">
      <c r="A48" s="71" t="s">
        <v>436</v>
      </c>
      <c r="B48" s="19" t="s">
        <v>111</v>
      </c>
      <c r="C48" s="72">
        <v>2009</v>
      </c>
      <c r="D48" s="1">
        <f>R48+F48+E48</f>
        <v>189</v>
      </c>
      <c r="G48" s="120"/>
      <c r="I48" s="205"/>
      <c r="J48" s="196"/>
      <c r="K48" s="186"/>
      <c r="L48" s="170"/>
      <c r="M48" s="50"/>
      <c r="N48" s="50"/>
      <c r="O48" s="219">
        <f>AA48</f>
        <v>189</v>
      </c>
      <c r="P48" s="120"/>
      <c r="Q48" s="96">
        <f>I48+J48+K48+L48+M48+N48+O48</f>
        <v>189</v>
      </c>
      <c r="R48" s="97">
        <f>IF(C48=2012, Q48/3,Q48)+P48</f>
        <v>189</v>
      </c>
      <c r="S48" s="22"/>
      <c r="T48" s="237"/>
      <c r="U48" s="50">
        <f>16</f>
        <v>16</v>
      </c>
      <c r="V48" s="50">
        <f>34+8</f>
        <v>42</v>
      </c>
      <c r="W48" s="50">
        <f>26+6</f>
        <v>32</v>
      </c>
      <c r="X48" s="50">
        <f>AL48</f>
        <v>99</v>
      </c>
      <c r="Y48" s="120"/>
      <c r="Z48" s="96">
        <f>SUM(T48:X48)</f>
        <v>189</v>
      </c>
      <c r="AA48" s="97">
        <f>IF(C48=2011, Z48/3,Z48)+Y48</f>
        <v>189</v>
      </c>
      <c r="AB48" s="22"/>
      <c r="AD48" s="13">
        <f>24</f>
        <v>24</v>
      </c>
      <c r="AF48" s="13">
        <f>36</f>
        <v>36</v>
      </c>
      <c r="AG48" s="13">
        <f>11+6</f>
        <v>17</v>
      </c>
      <c r="AH48" s="13">
        <f>19+3</f>
        <v>22</v>
      </c>
      <c r="AJ48" s="95"/>
      <c r="AK48" s="96">
        <f>SUM(AC48:AI48)</f>
        <v>99</v>
      </c>
      <c r="AL48" s="97">
        <f>IF(C48=2010, AK48/3,AK48)+AJ48</f>
        <v>99</v>
      </c>
    </row>
    <row r="49" spans="1:57" x14ac:dyDescent="0.25">
      <c r="A49" s="60" t="s">
        <v>819</v>
      </c>
      <c r="B49" s="65" t="s">
        <v>587</v>
      </c>
      <c r="C49" s="62">
        <v>2011</v>
      </c>
      <c r="D49" s="1">
        <f>R49+F49+E49</f>
        <v>3</v>
      </c>
      <c r="E49" s="237"/>
      <c r="F49" s="237"/>
      <c r="G49" s="154"/>
      <c r="H49" s="237"/>
      <c r="I49" s="205"/>
      <c r="J49" s="196"/>
      <c r="K49" s="186"/>
      <c r="L49" s="170"/>
      <c r="M49" s="170"/>
      <c r="N49" s="170">
        <f>3</f>
        <v>3</v>
      </c>
      <c r="O49" s="219">
        <f>AA49</f>
        <v>0</v>
      </c>
      <c r="P49" s="120"/>
      <c r="Q49" s="96">
        <f>I49+J49+K49+L49+M49+N49+O49</f>
        <v>3</v>
      </c>
      <c r="R49" s="97">
        <f>IF(C49=2012, Q49/3,Q49)+P49</f>
        <v>3</v>
      </c>
      <c r="S49" s="22"/>
      <c r="T49" s="205"/>
      <c r="U49" s="170"/>
      <c r="V49" s="170"/>
      <c r="W49" s="170"/>
      <c r="X49" s="170"/>
      <c r="Y49" s="120"/>
      <c r="Z49" s="96">
        <f>SUM(T49:X49)</f>
        <v>0</v>
      </c>
      <c r="AA49" s="97"/>
      <c r="AB49" s="22"/>
      <c r="AJ49" s="95"/>
      <c r="AK49" s="96"/>
      <c r="AL49" s="9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</row>
    <row r="50" spans="1:57" x14ac:dyDescent="0.25">
      <c r="A50" s="11" t="s">
        <v>264</v>
      </c>
      <c r="B50" s="60" t="s">
        <v>64</v>
      </c>
      <c r="C50" s="62">
        <v>2012</v>
      </c>
      <c r="D50" s="1">
        <f>R50+F50+E50</f>
        <v>0</v>
      </c>
      <c r="E50" s="237"/>
      <c r="F50" s="237"/>
      <c r="G50" s="154"/>
      <c r="H50" s="237"/>
      <c r="I50" s="205"/>
      <c r="J50" s="196"/>
      <c r="K50" s="191"/>
      <c r="L50" s="191"/>
      <c r="M50" s="191"/>
      <c r="N50" s="191"/>
      <c r="O50" s="219">
        <f>AA50</f>
        <v>0</v>
      </c>
      <c r="P50" s="120"/>
      <c r="Q50" s="96">
        <f>I50+J50+K50+L50+M50+N50+O50</f>
        <v>0</v>
      </c>
      <c r="R50" s="97">
        <f>IF(C50=2012, Q50/3,Q50)+P50</f>
        <v>0</v>
      </c>
      <c r="S50" s="209"/>
      <c r="T50" s="209"/>
      <c r="U50" s="50"/>
      <c r="V50" s="50"/>
      <c r="W50" s="50"/>
      <c r="X50" s="50">
        <f>AL50</f>
        <v>0</v>
      </c>
      <c r="Y50" s="120"/>
      <c r="Z50" s="96">
        <f>SUM(T50:X50)</f>
        <v>0</v>
      </c>
      <c r="AA50" s="97">
        <f>IF(C50=2011, Z50/3,Z50)+Y50</f>
        <v>0</v>
      </c>
      <c r="AB50" s="22"/>
      <c r="AC50" s="41"/>
      <c r="AD50" s="41"/>
      <c r="AE50" s="41">
        <f>0</f>
        <v>0</v>
      </c>
      <c r="AF50" s="41"/>
      <c r="AG50" s="41"/>
      <c r="AH50" s="41"/>
      <c r="AJ50" s="95"/>
      <c r="AK50" s="96">
        <f>SUM(AC50:AI50)</f>
        <v>0</v>
      </c>
      <c r="AL50" s="97">
        <f>IF(C50=2015, AK50/3,AK50)+AJ50</f>
        <v>0</v>
      </c>
    </row>
    <row r="51" spans="1:57" x14ac:dyDescent="0.25">
      <c r="A51" s="77" t="s">
        <v>361</v>
      </c>
      <c r="B51" s="87" t="s">
        <v>7</v>
      </c>
      <c r="C51" s="3">
        <v>2009</v>
      </c>
      <c r="D51" s="1">
        <f>R51+F51+E51</f>
        <v>45</v>
      </c>
      <c r="E51" s="156"/>
      <c r="F51" s="156"/>
      <c r="G51" s="122"/>
      <c r="H51" s="156"/>
      <c r="I51" s="205"/>
      <c r="J51" s="196"/>
      <c r="K51" s="186"/>
      <c r="L51" s="170"/>
      <c r="M51" s="50"/>
      <c r="N51" s="50"/>
      <c r="O51" s="219">
        <f>AA51</f>
        <v>45</v>
      </c>
      <c r="P51" s="120"/>
      <c r="Q51" s="96">
        <f>I51+J51+K51+L51+M51+N51+O51</f>
        <v>45</v>
      </c>
      <c r="R51" s="97">
        <f>IF(C51=2012, Q51/3,Q51)+P51</f>
        <v>45</v>
      </c>
      <c r="S51" s="22"/>
      <c r="T51" s="205"/>
      <c r="U51" s="50"/>
      <c r="V51" s="50">
        <f>39</f>
        <v>39</v>
      </c>
      <c r="W51" s="50"/>
      <c r="X51" s="50">
        <f>AL51</f>
        <v>6</v>
      </c>
      <c r="Y51" s="120"/>
      <c r="Z51" s="96">
        <f>SUM(T51:X51)</f>
        <v>45</v>
      </c>
      <c r="AA51" s="97">
        <f>IF(C51=2011, Z51/3,Z51)+Y51</f>
        <v>45</v>
      </c>
      <c r="AB51" s="22"/>
      <c r="AF51" s="13">
        <f>0+6</f>
        <v>6</v>
      </c>
      <c r="AH51" s="13">
        <f>0</f>
        <v>0</v>
      </c>
      <c r="AJ51" s="95"/>
      <c r="AK51" s="96">
        <f>SUM(AC51:AI51)</f>
        <v>6</v>
      </c>
      <c r="AL51" s="97">
        <f>IF(C51=2010, AK51/3,AK51)+AJ51</f>
        <v>6</v>
      </c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</row>
    <row r="52" spans="1:57" x14ac:dyDescent="0.25">
      <c r="A52" s="11" t="s">
        <v>403</v>
      </c>
      <c r="B52" s="60" t="s">
        <v>7</v>
      </c>
      <c r="C52" s="62">
        <v>2012</v>
      </c>
      <c r="D52" s="1">
        <f>R52+F52+E52</f>
        <v>18.666666666666668</v>
      </c>
      <c r="E52" s="108">
        <f>0</f>
        <v>0</v>
      </c>
      <c r="F52" s="108"/>
      <c r="G52" s="122"/>
      <c r="H52" s="108"/>
      <c r="I52" s="205">
        <f>0</f>
        <v>0</v>
      </c>
      <c r="J52" s="196"/>
      <c r="K52" s="191"/>
      <c r="L52" s="191">
        <f>0</f>
        <v>0</v>
      </c>
      <c r="M52" s="191">
        <f>0</f>
        <v>0</v>
      </c>
      <c r="N52" s="191">
        <f>0</f>
        <v>0</v>
      </c>
      <c r="O52" s="219">
        <f>AA52</f>
        <v>56</v>
      </c>
      <c r="P52" s="120"/>
      <c r="Q52" s="96">
        <f>I52+J52+K52+L52+M52+N52+O52</f>
        <v>56</v>
      </c>
      <c r="R52" s="97">
        <f>IF(C52=2012, Q52/3,Q52)+P52</f>
        <v>18.666666666666668</v>
      </c>
      <c r="S52" s="209"/>
      <c r="T52" s="209"/>
      <c r="U52" s="191">
        <f>8+24</f>
        <v>32</v>
      </c>
      <c r="V52" s="191">
        <f>0</f>
        <v>0</v>
      </c>
      <c r="W52" s="191">
        <f>0+1</f>
        <v>1</v>
      </c>
      <c r="X52" s="191">
        <f>AL52</f>
        <v>23</v>
      </c>
      <c r="Y52" s="120"/>
      <c r="Z52" s="96">
        <f>SUM(T52:X52)</f>
        <v>56</v>
      </c>
      <c r="AA52" s="97">
        <f>IF(C52=2011, Z52/3,Z52)+Y52</f>
        <v>56</v>
      </c>
      <c r="AB52" s="22"/>
      <c r="AC52" s="41"/>
      <c r="AD52" s="41"/>
      <c r="AE52" s="41"/>
      <c r="AF52" s="41"/>
      <c r="AG52" s="41">
        <f>21</f>
        <v>21</v>
      </c>
      <c r="AH52" s="41">
        <f>0+2</f>
        <v>2</v>
      </c>
      <c r="AJ52" s="95"/>
      <c r="AK52" s="96">
        <f>SUM(AC52:AI52)</f>
        <v>23</v>
      </c>
      <c r="AL52" s="97">
        <f>IF(C52=2015, AK52/3,AK52)+AJ52</f>
        <v>23</v>
      </c>
    </row>
    <row r="53" spans="1:57" x14ac:dyDescent="0.25">
      <c r="A53" s="11" t="s">
        <v>804</v>
      </c>
      <c r="B53" s="60" t="s">
        <v>587</v>
      </c>
      <c r="C53" s="62">
        <v>2011</v>
      </c>
      <c r="D53" s="1">
        <f>R53+F53+E53</f>
        <v>6</v>
      </c>
      <c r="G53" s="154"/>
      <c r="I53" s="205"/>
      <c r="J53" s="196"/>
      <c r="K53" s="186"/>
      <c r="L53" s="170"/>
      <c r="M53" s="50"/>
      <c r="N53" s="50">
        <f>3</f>
        <v>3</v>
      </c>
      <c r="O53" s="219">
        <f>AA53</f>
        <v>3</v>
      </c>
      <c r="P53" s="120"/>
      <c r="Q53" s="96">
        <f>I53+J53+K53+L53+M53+N53+O53</f>
        <v>6</v>
      </c>
      <c r="R53" s="97">
        <f>IF(C53=2012, Q53/3,Q53)+P53</f>
        <v>6</v>
      </c>
      <c r="S53" s="237"/>
      <c r="T53" s="205"/>
      <c r="U53" s="50"/>
      <c r="V53" s="50"/>
      <c r="W53" s="50">
        <f>0</f>
        <v>0</v>
      </c>
      <c r="X53" s="50"/>
      <c r="Y53" s="120">
        <f>3</f>
        <v>3</v>
      </c>
      <c r="Z53" s="96">
        <f>SUM(T53:X53)</f>
        <v>0</v>
      </c>
      <c r="AA53" s="97">
        <f>IF(C53=2011, Z53/3,Z53)+Y53</f>
        <v>3</v>
      </c>
      <c r="AB53" s="22"/>
      <c r="AC53" s="41"/>
      <c r="AD53" s="41"/>
      <c r="AE53" s="41"/>
      <c r="AF53" s="41"/>
      <c r="AG53" s="41"/>
      <c r="AH53" s="41"/>
      <c r="AJ53" s="95"/>
      <c r="AK53" s="96"/>
      <c r="AL53" s="97"/>
    </row>
    <row r="54" spans="1:57" x14ac:dyDescent="0.25">
      <c r="A54" s="11" t="s">
        <v>729</v>
      </c>
      <c r="B54" s="60" t="s">
        <v>0</v>
      </c>
      <c r="C54" s="62">
        <v>2012</v>
      </c>
      <c r="D54" s="1">
        <f>R54+F54+E54</f>
        <v>51.666666666666664</v>
      </c>
      <c r="E54" s="108">
        <f>4</f>
        <v>4</v>
      </c>
      <c r="F54" s="108"/>
      <c r="G54" s="122"/>
      <c r="H54" s="108"/>
      <c r="I54" s="205">
        <f>38</f>
        <v>38</v>
      </c>
      <c r="J54" s="196">
        <f>22</f>
        <v>22</v>
      </c>
      <c r="K54" s="186">
        <f>18</f>
        <v>18</v>
      </c>
      <c r="L54" s="170">
        <f>23+1</f>
        <v>24</v>
      </c>
      <c r="M54" s="50">
        <f>35+3+3</f>
        <v>41</v>
      </c>
      <c r="N54" s="50">
        <f>0</f>
        <v>0</v>
      </c>
      <c r="O54" s="219">
        <f>AA54</f>
        <v>0</v>
      </c>
      <c r="P54" s="154"/>
      <c r="Q54" s="96">
        <f>I54+J54+K54+L54+M54+N54+O54</f>
        <v>143</v>
      </c>
      <c r="R54" s="97">
        <f>IF(C54=2012, Q54/3,Q54)+P54</f>
        <v>47.666666666666664</v>
      </c>
      <c r="S54" s="222"/>
      <c r="T54" s="222"/>
      <c r="U54" s="50"/>
      <c r="V54" s="50"/>
      <c r="W54" s="50"/>
      <c r="X54" s="50"/>
      <c r="Y54" s="120"/>
      <c r="Z54" s="96">
        <f>SUM(T54:X54)</f>
        <v>0</v>
      </c>
      <c r="AA54" s="97">
        <f>IF(C54=2011, Z54/3,Z54)+Y54</f>
        <v>0</v>
      </c>
      <c r="AB54" s="22"/>
      <c r="AC54" s="153"/>
      <c r="AD54" s="153"/>
      <c r="AE54" s="153"/>
      <c r="AF54" s="153"/>
      <c r="AG54" s="153"/>
      <c r="AH54" s="153"/>
      <c r="AJ54" s="95"/>
      <c r="AK54" s="96">
        <f>SUM(AC54:AI54)</f>
        <v>0</v>
      </c>
      <c r="AL54" s="97">
        <f>IF(C54=2015, AK54/3,AK54)+AJ54</f>
        <v>0</v>
      </c>
    </row>
    <row r="55" spans="1:57" x14ac:dyDescent="0.25">
      <c r="A55" s="77" t="s">
        <v>658</v>
      </c>
      <c r="B55" s="87" t="s">
        <v>64</v>
      </c>
      <c r="D55" s="1">
        <f>R55+F55+E55</f>
        <v>0</v>
      </c>
      <c r="G55" s="120"/>
      <c r="I55" s="205"/>
      <c r="J55" s="196"/>
      <c r="K55" s="186"/>
      <c r="L55" s="170"/>
      <c r="M55" s="50"/>
      <c r="N55" s="50"/>
      <c r="O55" s="219">
        <f>AA55</f>
        <v>0</v>
      </c>
      <c r="P55" s="120"/>
      <c r="Q55" s="96">
        <f>I55+J55+K55+L55+M55+N55+O55</f>
        <v>0</v>
      </c>
      <c r="R55" s="97">
        <f>IF(C55=2012, Q55/3,Q55)+P55</f>
        <v>0</v>
      </c>
      <c r="S55" s="22"/>
      <c r="T55" s="205"/>
      <c r="U55" s="50"/>
      <c r="V55" s="50">
        <f>0</f>
        <v>0</v>
      </c>
      <c r="W55" s="50"/>
      <c r="X55" s="50"/>
      <c r="Y55" s="120"/>
      <c r="Z55" s="96">
        <f>SUM(T55:X55)</f>
        <v>0</v>
      </c>
      <c r="AA55" s="97">
        <f>IF(C55=2011, Z55/3,Z55)+Y55</f>
        <v>0</v>
      </c>
      <c r="AB55" s="22"/>
      <c r="AJ55" s="95"/>
      <c r="AK55" s="96"/>
      <c r="AL55" s="97"/>
    </row>
    <row r="56" spans="1:57" x14ac:dyDescent="0.25">
      <c r="A56" s="11" t="s">
        <v>339</v>
      </c>
      <c r="B56" s="60" t="s">
        <v>7</v>
      </c>
      <c r="C56" s="62">
        <v>2012</v>
      </c>
      <c r="D56" s="1">
        <f>R56+F56+E56</f>
        <v>4.666666666666667</v>
      </c>
      <c r="G56" s="120"/>
      <c r="I56" s="205"/>
      <c r="J56" s="196"/>
      <c r="K56" s="186"/>
      <c r="L56" s="170"/>
      <c r="M56" s="50"/>
      <c r="N56" s="50"/>
      <c r="O56" s="219">
        <f>AA56</f>
        <v>14</v>
      </c>
      <c r="P56" s="120"/>
      <c r="Q56" s="96">
        <f>I56+J56+K56+L56+M56+N56+O56</f>
        <v>14</v>
      </c>
      <c r="R56" s="97">
        <f>IF(C56=2012, Q56/3,Q56)+P56</f>
        <v>4.666666666666667</v>
      </c>
      <c r="S56" s="238"/>
      <c r="T56" s="238"/>
      <c r="U56" s="50"/>
      <c r="V56" s="50"/>
      <c r="W56" s="50">
        <f>0+3+1</f>
        <v>4</v>
      </c>
      <c r="X56" s="50">
        <f>AL56</f>
        <v>10</v>
      </c>
      <c r="Y56" s="120"/>
      <c r="Z56" s="96">
        <f>SUM(T56:X56)</f>
        <v>14</v>
      </c>
      <c r="AA56" s="97">
        <f>IF(C56=2011, Z56/3,Z56)+Y56</f>
        <v>14</v>
      </c>
      <c r="AB56" s="22"/>
      <c r="AC56" s="41"/>
      <c r="AD56" s="41"/>
      <c r="AE56" s="41"/>
      <c r="AF56" s="41">
        <f>0</f>
        <v>0</v>
      </c>
      <c r="AG56" s="41">
        <f>10</f>
        <v>10</v>
      </c>
      <c r="AH56" s="41"/>
      <c r="AJ56" s="95"/>
      <c r="AK56" s="96">
        <f>SUM(AC56:AI56)</f>
        <v>10</v>
      </c>
      <c r="AL56" s="97">
        <f>IF(C56=2015, AK56/3,AK56)+AJ56</f>
        <v>10</v>
      </c>
    </row>
    <row r="57" spans="1:57" x14ac:dyDescent="0.25">
      <c r="A57" s="77" t="s">
        <v>651</v>
      </c>
      <c r="B57" s="87" t="s">
        <v>479</v>
      </c>
      <c r="D57" s="1">
        <f>R57+F57+E57</f>
        <v>0</v>
      </c>
      <c r="G57" s="120"/>
      <c r="I57" s="205"/>
      <c r="J57" s="205"/>
      <c r="K57" s="205"/>
      <c r="L57" s="205"/>
      <c r="M57" s="205"/>
      <c r="N57" s="205"/>
      <c r="O57" s="219">
        <f>AA57</f>
        <v>0</v>
      </c>
      <c r="P57" s="120"/>
      <c r="Q57" s="96">
        <f>I57+J57+K57+L57+M57+N57+O57</f>
        <v>0</v>
      </c>
      <c r="R57" s="97">
        <f>IF(C57=2012, Q57/3,Q57)+P57</f>
        <v>0</v>
      </c>
      <c r="S57" s="22"/>
      <c r="T57" s="205"/>
      <c r="U57" s="50"/>
      <c r="V57" s="50">
        <f>0</f>
        <v>0</v>
      </c>
      <c r="W57" s="50"/>
      <c r="X57" s="50"/>
      <c r="Y57" s="120"/>
      <c r="Z57" s="96">
        <f>SUM(T57:X57)</f>
        <v>0</v>
      </c>
      <c r="AA57" s="97">
        <f>IF(C57=2011, Z57/3,Z57)+Y57</f>
        <v>0</v>
      </c>
      <c r="AB57" s="22"/>
      <c r="AJ57" s="95"/>
      <c r="AK57" s="96"/>
      <c r="AL57" s="97"/>
    </row>
    <row r="58" spans="1:57" x14ac:dyDescent="0.25">
      <c r="A58" s="77" t="s">
        <v>507</v>
      </c>
      <c r="B58" s="87" t="s">
        <v>111</v>
      </c>
      <c r="C58" s="3">
        <v>2009</v>
      </c>
      <c r="D58" s="1">
        <f>R58+F58+E58</f>
        <v>33</v>
      </c>
      <c r="G58" s="154"/>
      <c r="I58" s="205"/>
      <c r="J58" s="196"/>
      <c r="K58" s="191"/>
      <c r="L58" s="191"/>
      <c r="M58" s="191"/>
      <c r="N58" s="191"/>
      <c r="O58" s="219">
        <f>AA58</f>
        <v>33</v>
      </c>
      <c r="P58" s="120"/>
      <c r="Q58" s="96">
        <f>I58+J58+K58+L58+M58+N58+O58</f>
        <v>33</v>
      </c>
      <c r="R58" s="97">
        <f>IF(C58=2012, Q58/3,Q58)+P58</f>
        <v>33</v>
      </c>
      <c r="S58" s="22"/>
      <c r="T58" s="205"/>
      <c r="U58" s="191">
        <f>11+21</f>
        <v>32</v>
      </c>
      <c r="V58" s="191">
        <f>0</f>
        <v>0</v>
      </c>
      <c r="W58" s="191">
        <f>0</f>
        <v>0</v>
      </c>
      <c r="X58" s="191">
        <f>AL58</f>
        <v>1</v>
      </c>
      <c r="Y58" s="120"/>
      <c r="Z58" s="96">
        <f>SUM(T58:X58)</f>
        <v>33</v>
      </c>
      <c r="AA58" s="97">
        <f>IF(C58=2011, Z58/3,Z58)+Y58</f>
        <v>33</v>
      </c>
      <c r="AB58" s="22"/>
      <c r="AH58" s="13">
        <f>1</f>
        <v>1</v>
      </c>
      <c r="AJ58" s="95"/>
      <c r="AK58" s="96">
        <f>SUM(AC58:AI58)</f>
        <v>1</v>
      </c>
      <c r="AL58" s="97">
        <f>IF(C58=2010, AK58/3,AK58)+AJ58</f>
        <v>1</v>
      </c>
    </row>
    <row r="59" spans="1:57" x14ac:dyDescent="0.25">
      <c r="A59" s="60" t="s">
        <v>170</v>
      </c>
      <c r="B59" s="65" t="s">
        <v>86</v>
      </c>
      <c r="C59" s="62">
        <v>2009</v>
      </c>
      <c r="D59" s="1">
        <f>R59+F59+E59</f>
        <v>239</v>
      </c>
      <c r="G59" s="154"/>
      <c r="I59" s="205"/>
      <c r="J59" s="196"/>
      <c r="K59" s="186"/>
      <c r="L59" s="170"/>
      <c r="M59" s="50"/>
      <c r="N59" s="50"/>
      <c r="O59" s="219">
        <f>AA59</f>
        <v>239</v>
      </c>
      <c r="P59" s="120"/>
      <c r="Q59" s="96">
        <f>I59+J59+K59+L59+M59+N59+O59</f>
        <v>239</v>
      </c>
      <c r="R59" s="97">
        <f>IF(C59=2012, Q59/3,Q59)+P59</f>
        <v>239</v>
      </c>
      <c r="S59" s="22"/>
      <c r="T59" s="205"/>
      <c r="U59" s="50"/>
      <c r="V59" s="50"/>
      <c r="W59" s="50"/>
      <c r="X59" s="50">
        <f>AL59</f>
        <v>239</v>
      </c>
      <c r="Y59" s="120"/>
      <c r="Z59" s="96">
        <f>SUM(T59:X59)</f>
        <v>239</v>
      </c>
      <c r="AA59" s="97">
        <f>IF(C59=2011, Z59/3,Z59)+Y59</f>
        <v>239</v>
      </c>
      <c r="AB59" s="22"/>
      <c r="AD59" s="13">
        <v>63</v>
      </c>
      <c r="AF59" s="13">
        <f>42</f>
        <v>42</v>
      </c>
      <c r="AH59" s="13">
        <f>84</f>
        <v>84</v>
      </c>
      <c r="AI59" s="13">
        <f>47</f>
        <v>47</v>
      </c>
      <c r="AJ59" s="95">
        <f>3</f>
        <v>3</v>
      </c>
      <c r="AK59" s="96">
        <f>SUM(AC59:AI59)</f>
        <v>236</v>
      </c>
      <c r="AL59" s="97">
        <f>IF(C59=2010, AK59/3,AK59)+AJ59</f>
        <v>239</v>
      </c>
    </row>
    <row r="60" spans="1:57" x14ac:dyDescent="0.25">
      <c r="A60" s="77" t="s">
        <v>597</v>
      </c>
      <c r="B60" s="87" t="s">
        <v>587</v>
      </c>
      <c r="C60" s="3">
        <v>2009</v>
      </c>
      <c r="D60" s="1">
        <f>R60+F60+E60</f>
        <v>6</v>
      </c>
      <c r="G60" s="120"/>
      <c r="I60" s="205"/>
      <c r="J60" s="196"/>
      <c r="K60" s="191"/>
      <c r="L60" s="191"/>
      <c r="M60" s="191"/>
      <c r="N60" s="191">
        <f>3</f>
        <v>3</v>
      </c>
      <c r="O60" s="219">
        <f>AA60</f>
        <v>3</v>
      </c>
      <c r="P60" s="120"/>
      <c r="Q60" s="96">
        <f>I60+J60+K60+L60+M60+N60+O60</f>
        <v>6</v>
      </c>
      <c r="R60" s="97">
        <f>IF(C60=2012, Q60/3,Q60)+P60</f>
        <v>6</v>
      </c>
      <c r="S60" s="22"/>
      <c r="T60" s="205"/>
      <c r="U60" s="50"/>
      <c r="V60" s="50"/>
      <c r="W60" s="50">
        <f>3</f>
        <v>3</v>
      </c>
      <c r="X60" s="50"/>
      <c r="Y60" s="120"/>
      <c r="Z60" s="96">
        <f>SUM(T60:X60)</f>
        <v>3</v>
      </c>
      <c r="AA60" s="97">
        <f>IF(C60=2011, Z60/3,Z60)+Y60</f>
        <v>3</v>
      </c>
      <c r="AB60" s="22"/>
      <c r="AJ60" s="95"/>
      <c r="AK60" s="96"/>
      <c r="AL60" s="97"/>
    </row>
    <row r="61" spans="1:57" x14ac:dyDescent="0.25">
      <c r="A61" s="11" t="s">
        <v>902</v>
      </c>
      <c r="B61" s="60" t="s">
        <v>406</v>
      </c>
      <c r="C61" s="62">
        <v>2012</v>
      </c>
      <c r="D61" s="1">
        <f>R61+F61+E61</f>
        <v>16.333333333333332</v>
      </c>
      <c r="E61" s="237"/>
      <c r="F61" s="237"/>
      <c r="G61" s="237"/>
      <c r="H61" s="237"/>
      <c r="I61" s="205">
        <f>10</f>
        <v>10</v>
      </c>
      <c r="J61" s="196">
        <f>9+16</f>
        <v>25</v>
      </c>
      <c r="K61" s="186"/>
      <c r="L61" s="170">
        <f>0+14</f>
        <v>14</v>
      </c>
      <c r="M61" s="50"/>
      <c r="N61" s="50"/>
      <c r="O61" s="219">
        <f>AA61</f>
        <v>0</v>
      </c>
      <c r="P61" s="154"/>
      <c r="Q61" s="96">
        <f>I61+J61+K61+L61+M61+N61+O61</f>
        <v>49</v>
      </c>
      <c r="R61" s="97">
        <f>IF(C61=2012, Q61/3,Q61)+P61</f>
        <v>16.333333333333332</v>
      </c>
      <c r="S61" s="238"/>
      <c r="T61" s="238"/>
      <c r="U61" s="50"/>
      <c r="V61" s="50"/>
      <c r="W61" s="50"/>
      <c r="X61" s="50"/>
      <c r="Y61" s="120"/>
      <c r="Z61" s="96">
        <f>SUM(T61:X61)</f>
        <v>0</v>
      </c>
      <c r="AA61" s="97">
        <f>IF(C61=2011, Z61/3,Z61)+Y61</f>
        <v>0</v>
      </c>
      <c r="AB61" s="22"/>
      <c r="AC61" s="153"/>
      <c r="AD61" s="153"/>
      <c r="AE61" s="153"/>
      <c r="AF61" s="153"/>
      <c r="AG61" s="153"/>
      <c r="AH61" s="153"/>
      <c r="AJ61" s="95"/>
      <c r="AK61" s="96"/>
      <c r="AL61" s="97"/>
    </row>
    <row r="62" spans="1:57" x14ac:dyDescent="0.25">
      <c r="A62" s="11" t="s">
        <v>238</v>
      </c>
      <c r="B62" s="60" t="s">
        <v>0</v>
      </c>
      <c r="C62" s="3">
        <v>2011</v>
      </c>
      <c r="D62" s="1">
        <f>R62+F62+E62</f>
        <v>162</v>
      </c>
      <c r="E62" s="237">
        <f>0+2</f>
        <v>2</v>
      </c>
      <c r="F62" s="237"/>
      <c r="G62" s="154"/>
      <c r="H62" s="237"/>
      <c r="I62" s="205"/>
      <c r="J62" s="196"/>
      <c r="K62" s="186"/>
      <c r="L62" s="170"/>
      <c r="M62" s="50"/>
      <c r="N62" s="50"/>
      <c r="O62" s="219">
        <f>AA62</f>
        <v>160</v>
      </c>
      <c r="P62" s="120"/>
      <c r="Q62" s="96">
        <f>I62+J62+K62+L62+M62+N62+O62</f>
        <v>160</v>
      </c>
      <c r="R62" s="97">
        <f>IF(C62=2012, Q62/3,Q62)+P62</f>
        <v>160</v>
      </c>
      <c r="S62" s="237"/>
      <c r="T62" s="205">
        <f>9</f>
        <v>9</v>
      </c>
      <c r="U62" s="50">
        <f>30+30</f>
        <v>60</v>
      </c>
      <c r="V62" s="50">
        <f>90</f>
        <v>90</v>
      </c>
      <c r="W62" s="50">
        <f>24+21+3</f>
        <v>48</v>
      </c>
      <c r="X62" s="50">
        <f>AL62</f>
        <v>273</v>
      </c>
      <c r="Y62" s="120"/>
      <c r="Z62" s="96">
        <f>SUM(T62:X62)</f>
        <v>480</v>
      </c>
      <c r="AA62" s="97">
        <f>IF(C62=2011, Z62/3,Z62)+Y62</f>
        <v>160</v>
      </c>
      <c r="AB62" s="22"/>
      <c r="AC62" s="41"/>
      <c r="AD62" s="41"/>
      <c r="AE62" s="41">
        <f>60+9</f>
        <v>69</v>
      </c>
      <c r="AF62" s="41">
        <f>57+12</f>
        <v>69</v>
      </c>
      <c r="AG62" s="41">
        <f>6+27</f>
        <v>33</v>
      </c>
      <c r="AH62" s="41">
        <f>18+15+3</f>
        <v>36</v>
      </c>
      <c r="AI62" s="13">
        <f>66</f>
        <v>66</v>
      </c>
      <c r="AJ62" s="95"/>
      <c r="AK62" s="96">
        <f>SUM(AC62:AI62)</f>
        <v>273</v>
      </c>
      <c r="AL62" s="97">
        <f>IF(C62=2015, AK62/3,AK62)+AJ62</f>
        <v>273</v>
      </c>
    </row>
    <row r="63" spans="1:57" x14ac:dyDescent="0.25">
      <c r="A63" s="60" t="s">
        <v>539</v>
      </c>
      <c r="B63" s="65" t="s">
        <v>532</v>
      </c>
      <c r="C63" s="62">
        <v>2009</v>
      </c>
      <c r="D63" s="1">
        <f>R63+F63+E63</f>
        <v>81</v>
      </c>
      <c r="G63" s="120"/>
      <c r="I63" s="205"/>
      <c r="J63" s="196"/>
      <c r="K63" s="186"/>
      <c r="L63" s="170"/>
      <c r="M63" s="50"/>
      <c r="N63" s="50"/>
      <c r="O63" s="219">
        <f>AA63</f>
        <v>81</v>
      </c>
      <c r="P63" s="120"/>
      <c r="Q63" s="96">
        <f>I63+J63+K63+L63+M63+N63+O63</f>
        <v>81</v>
      </c>
      <c r="R63" s="97">
        <f>IF(C63=2012, Q63/3,Q63)+P63</f>
        <v>81</v>
      </c>
      <c r="S63" s="22"/>
      <c r="T63" s="237"/>
      <c r="U63" s="50">
        <f>38</f>
        <v>38</v>
      </c>
      <c r="V63" s="50"/>
      <c r="W63" s="50"/>
      <c r="X63" s="50">
        <f>AL63</f>
        <v>43</v>
      </c>
      <c r="Y63" s="120"/>
      <c r="Z63" s="96">
        <f>SUM(T63:X63)</f>
        <v>81</v>
      </c>
      <c r="AA63" s="97">
        <f>IF(C63=2011, Z63/3,Z63)+Y63</f>
        <v>81</v>
      </c>
      <c r="AB63" s="22"/>
      <c r="AH63" s="13">
        <f>0</f>
        <v>0</v>
      </c>
      <c r="AI63" s="13">
        <f>43</f>
        <v>43</v>
      </c>
      <c r="AJ63" s="95"/>
      <c r="AK63" s="96">
        <f>SUM(AC63:AI63)</f>
        <v>43</v>
      </c>
      <c r="AL63" s="97">
        <f>IF(C63=2010, AK63/3,AK63)+AJ63</f>
        <v>43</v>
      </c>
    </row>
    <row r="64" spans="1:57" x14ac:dyDescent="0.25">
      <c r="A64" s="11" t="s">
        <v>492</v>
      </c>
      <c r="B64" s="60" t="s">
        <v>491</v>
      </c>
      <c r="C64" s="62">
        <v>2011</v>
      </c>
      <c r="D64" s="1">
        <f>R64+F64+E64</f>
        <v>235</v>
      </c>
      <c r="E64" s="108"/>
      <c r="F64" s="108"/>
      <c r="G64" s="122"/>
      <c r="H64" s="108"/>
      <c r="I64" s="205">
        <f>33</f>
        <v>33</v>
      </c>
      <c r="J64" s="196">
        <f>45</f>
        <v>45</v>
      </c>
      <c r="K64" s="186">
        <f>21</f>
        <v>21</v>
      </c>
      <c r="L64" s="170">
        <f>9</f>
        <v>9</v>
      </c>
      <c r="M64" s="50">
        <f>60</f>
        <v>60</v>
      </c>
      <c r="N64" s="50"/>
      <c r="O64" s="219">
        <f>AA64</f>
        <v>67</v>
      </c>
      <c r="P64" s="120"/>
      <c r="Q64" s="96">
        <f>I64+J64+K64+L64+M64+N64+O64</f>
        <v>235</v>
      </c>
      <c r="R64" s="97">
        <f>IF(C64=2012, Q64/3,Q64)+P64</f>
        <v>235</v>
      </c>
      <c r="S64" s="219"/>
      <c r="T64" s="219"/>
      <c r="U64" s="50">
        <f>75</f>
        <v>75</v>
      </c>
      <c r="V64" s="50"/>
      <c r="W64" s="50"/>
      <c r="X64" s="50">
        <f>AL64</f>
        <v>81</v>
      </c>
      <c r="Y64" s="120">
        <f>15</f>
        <v>15</v>
      </c>
      <c r="Z64" s="96">
        <f>SUM(T64:X64)</f>
        <v>156</v>
      </c>
      <c r="AA64" s="97">
        <f>IF(C64=2011, Z64/3,Z64)+Y64</f>
        <v>67</v>
      </c>
      <c r="AB64" s="22"/>
      <c r="AC64" s="41"/>
      <c r="AD64" s="41"/>
      <c r="AE64" s="41"/>
      <c r="AF64" s="41"/>
      <c r="AG64" s="41"/>
      <c r="AH64" s="41">
        <f>81</f>
        <v>81</v>
      </c>
      <c r="AJ64" s="95"/>
      <c r="AK64" s="96">
        <f>SUM(AC64:AI64)</f>
        <v>81</v>
      </c>
      <c r="AL64" s="97">
        <f>IF(C64=2015, AK64/3,AK64)+AJ64</f>
        <v>81</v>
      </c>
    </row>
    <row r="65" spans="1:57" x14ac:dyDescent="0.25">
      <c r="A65" s="77" t="s">
        <v>672</v>
      </c>
      <c r="B65" s="87" t="s">
        <v>479</v>
      </c>
      <c r="D65" s="1">
        <f>R65+F65+E65</f>
        <v>4</v>
      </c>
      <c r="E65" s="156"/>
      <c r="F65" s="156"/>
      <c r="G65" s="122"/>
      <c r="H65" s="156"/>
      <c r="I65" s="205"/>
      <c r="J65" s="196"/>
      <c r="K65" s="186"/>
      <c r="L65" s="170"/>
      <c r="M65" s="50"/>
      <c r="N65" s="50"/>
      <c r="O65" s="219">
        <f>AA65</f>
        <v>4</v>
      </c>
      <c r="P65" s="120"/>
      <c r="Q65" s="96">
        <f>I65+J65+K65+L65+M65+N65+O65</f>
        <v>4</v>
      </c>
      <c r="R65" s="97">
        <f>IF(C65=2012, Q65/3,Q65)+P65</f>
        <v>4</v>
      </c>
      <c r="S65" s="22"/>
      <c r="T65" s="237"/>
      <c r="U65" s="50"/>
      <c r="V65" s="50">
        <f>4</f>
        <v>4</v>
      </c>
      <c r="W65" s="50"/>
      <c r="X65" s="50"/>
      <c r="Y65" s="120"/>
      <c r="Z65" s="96">
        <f>SUM(T65:X65)</f>
        <v>4</v>
      </c>
      <c r="AA65" s="97">
        <f>IF(C65=2011, Z65/3,Z65)+Y65</f>
        <v>4</v>
      </c>
      <c r="AB65" s="22"/>
      <c r="AJ65" s="95"/>
      <c r="AK65" s="96"/>
      <c r="AL65" s="97"/>
    </row>
    <row r="66" spans="1:57" x14ac:dyDescent="0.25">
      <c r="A66" s="11" t="s">
        <v>723</v>
      </c>
      <c r="B66" s="60" t="s">
        <v>0</v>
      </c>
      <c r="C66" s="62">
        <v>2012</v>
      </c>
      <c r="D66" s="1">
        <f>R66+F66+E66</f>
        <v>85.333333333333329</v>
      </c>
      <c r="E66" s="237">
        <f>10</f>
        <v>10</v>
      </c>
      <c r="F66" s="237"/>
      <c r="G66" s="120"/>
      <c r="H66" s="237"/>
      <c r="I66" s="205">
        <f>30+12</f>
        <v>42</v>
      </c>
      <c r="J66" s="196">
        <f>74</f>
        <v>74</v>
      </c>
      <c r="K66" s="186">
        <f>6+6+4+4</f>
        <v>20</v>
      </c>
      <c r="L66" s="170">
        <f>23+7+1</f>
        <v>31</v>
      </c>
      <c r="M66" s="50">
        <f>26+5+3</f>
        <v>34</v>
      </c>
      <c r="N66" s="50">
        <f>23+2</f>
        <v>25</v>
      </c>
      <c r="O66" s="219">
        <f>AA66</f>
        <v>0</v>
      </c>
      <c r="P66" s="154"/>
      <c r="Q66" s="96">
        <f>I66+J66+K66+L66+M66+N66+O66</f>
        <v>226</v>
      </c>
      <c r="R66" s="97">
        <f>IF(C66=2012, Q66/3,Q66)+P66</f>
        <v>75.333333333333329</v>
      </c>
      <c r="S66" s="222"/>
      <c r="T66" s="222"/>
      <c r="U66" s="50"/>
      <c r="V66" s="50"/>
      <c r="W66" s="50"/>
      <c r="X66" s="50"/>
      <c r="Y66" s="120"/>
      <c r="Z66" s="96">
        <f>SUM(T66:X66)</f>
        <v>0</v>
      </c>
      <c r="AA66" s="97">
        <f>IF(C66=2011, Z66/3,Z66)+Y66</f>
        <v>0</v>
      </c>
      <c r="AB66" s="22"/>
      <c r="AC66" s="153"/>
      <c r="AD66" s="153"/>
      <c r="AE66" s="153"/>
      <c r="AF66" s="153"/>
      <c r="AG66" s="153"/>
      <c r="AH66" s="153"/>
      <c r="AJ66" s="95"/>
      <c r="AK66" s="96">
        <f>SUM(AC66:AI66)</f>
        <v>0</v>
      </c>
      <c r="AL66" s="97">
        <f>IF(C66=2015, AK66/3,AK66)+AJ66</f>
        <v>0</v>
      </c>
    </row>
    <row r="67" spans="1:57" x14ac:dyDescent="0.25">
      <c r="A67" s="11" t="s">
        <v>329</v>
      </c>
      <c r="B67" s="60" t="s">
        <v>0</v>
      </c>
      <c r="C67" s="3">
        <v>2011</v>
      </c>
      <c r="D67" s="1">
        <f>R67+F67+E67</f>
        <v>101.33333333333333</v>
      </c>
      <c r="G67" s="120"/>
      <c r="I67" s="205"/>
      <c r="J67" s="196"/>
      <c r="K67" s="186"/>
      <c r="L67" s="170"/>
      <c r="M67" s="50"/>
      <c r="N67" s="50"/>
      <c r="O67" s="219">
        <f>AA67</f>
        <v>101.33333333333333</v>
      </c>
      <c r="P67" s="120"/>
      <c r="Q67" s="96">
        <f>I67+J67+K67+L67+M67+N67+O67</f>
        <v>101.33333333333333</v>
      </c>
      <c r="R67" s="97">
        <f>IF(C67=2012, Q67/3,Q67)+P67</f>
        <v>101.33333333333333</v>
      </c>
      <c r="S67" s="219"/>
      <c r="T67" s="219">
        <f>9</f>
        <v>9</v>
      </c>
      <c r="U67" s="50">
        <f>0+30</f>
        <v>30</v>
      </c>
      <c r="V67" s="50">
        <f>12</f>
        <v>12</v>
      </c>
      <c r="W67" s="50">
        <f>0+21+3</f>
        <v>24</v>
      </c>
      <c r="X67" s="50">
        <f>AL67</f>
        <v>229</v>
      </c>
      <c r="Y67" s="120"/>
      <c r="Z67" s="96">
        <f>SUM(T67:X67)</f>
        <v>304</v>
      </c>
      <c r="AA67" s="97">
        <f>IF(C67=2011, Z67/3,Z67)+Y67</f>
        <v>101.33333333333333</v>
      </c>
      <c r="AB67" s="22"/>
      <c r="AC67" s="41"/>
      <c r="AD67" s="41"/>
      <c r="AE67" s="41"/>
      <c r="AF67" s="41">
        <f>57</f>
        <v>57</v>
      </c>
      <c r="AG67" s="41">
        <f>2+27</f>
        <v>29</v>
      </c>
      <c r="AH67" s="41">
        <f>20+15+3</f>
        <v>38</v>
      </c>
      <c r="AI67" s="13">
        <v>105</v>
      </c>
      <c r="AJ67" s="95"/>
      <c r="AK67" s="96">
        <f>SUM(AC67:AI67)</f>
        <v>229</v>
      </c>
      <c r="AL67" s="97">
        <f>IF(C67=2015, AK67/3,AK67)+AJ67</f>
        <v>229</v>
      </c>
    </row>
    <row r="68" spans="1:57" x14ac:dyDescent="0.25">
      <c r="A68" s="11" t="s">
        <v>335</v>
      </c>
      <c r="B68" s="60" t="s">
        <v>0</v>
      </c>
      <c r="C68" s="3">
        <v>2012</v>
      </c>
      <c r="D68" s="1">
        <f>R68+F68+E68</f>
        <v>261</v>
      </c>
      <c r="E68" s="156"/>
      <c r="F68" s="156"/>
      <c r="G68" s="154"/>
      <c r="H68" s="156"/>
      <c r="I68" s="205"/>
      <c r="J68" s="196">
        <f>0</f>
        <v>0</v>
      </c>
      <c r="K68" s="186">
        <f>0+6+3</f>
        <v>9</v>
      </c>
      <c r="L68" s="170">
        <f>0+3+9</f>
        <v>12</v>
      </c>
      <c r="M68" s="50">
        <f>27+15+9</f>
        <v>51</v>
      </c>
      <c r="N68" s="50">
        <f>6+3+6</f>
        <v>15</v>
      </c>
      <c r="O68" s="219">
        <f>AA68</f>
        <v>696</v>
      </c>
      <c r="P68" s="120"/>
      <c r="Q68" s="96">
        <f>I68+J68+K68+L68+M68+N68+O68</f>
        <v>783</v>
      </c>
      <c r="R68" s="97">
        <f>IF(C68=2012, Q68/3,Q68)+P68</f>
        <v>261</v>
      </c>
      <c r="S68" s="238"/>
      <c r="T68" s="238"/>
      <c r="U68" s="50">
        <f>15+42</f>
        <v>57</v>
      </c>
      <c r="V68" s="50">
        <f>90+39</f>
        <v>129</v>
      </c>
      <c r="W68" s="50">
        <f>39+51+3+3</f>
        <v>96</v>
      </c>
      <c r="X68" s="50">
        <f>AL68</f>
        <v>414</v>
      </c>
      <c r="Y68" s="120"/>
      <c r="Z68" s="96">
        <f>SUM(T68:X68)</f>
        <v>696</v>
      </c>
      <c r="AA68" s="97">
        <f>IF(C68=2011, Z68/3,Z68)+Y68</f>
        <v>696</v>
      </c>
      <c r="AB68" s="22"/>
      <c r="AC68" s="237"/>
      <c r="AD68" s="237"/>
      <c r="AE68" s="237"/>
      <c r="AF68" s="237">
        <f>27+21</f>
        <v>48</v>
      </c>
      <c r="AG68" s="237">
        <f>3+36</f>
        <v>39</v>
      </c>
      <c r="AH68" s="237">
        <f>24+63+3+3</f>
        <v>93</v>
      </c>
      <c r="AI68" s="237">
        <f>234</f>
        <v>234</v>
      </c>
      <c r="AJ68" s="95"/>
      <c r="AK68" s="96">
        <f>SUM(AC68:AI68)</f>
        <v>414</v>
      </c>
      <c r="AL68" s="97">
        <f>IF(C68=2015, AK68/3,AK68)+AJ68</f>
        <v>414</v>
      </c>
    </row>
    <row r="69" spans="1:57" x14ac:dyDescent="0.25">
      <c r="A69" s="11" t="s">
        <v>121</v>
      </c>
      <c r="B69" s="60" t="s">
        <v>86</v>
      </c>
      <c r="C69" s="62">
        <v>2012</v>
      </c>
      <c r="D69" s="1">
        <f>R69+F69+E69</f>
        <v>23</v>
      </c>
      <c r="E69" s="156"/>
      <c r="F69" s="156"/>
      <c r="G69" s="154"/>
      <c r="H69" s="156"/>
      <c r="I69" s="205"/>
      <c r="J69" s="196"/>
      <c r="K69" s="186"/>
      <c r="L69" s="170"/>
      <c r="M69" s="50"/>
      <c r="N69" s="50"/>
      <c r="O69" s="219">
        <f>AA69</f>
        <v>69</v>
      </c>
      <c r="P69" s="120"/>
      <c r="Q69" s="96">
        <f>I69+J69+K69+L69+M69+N69+O69</f>
        <v>69</v>
      </c>
      <c r="R69" s="97">
        <f>IF(C69=2012, Q69/3,Q69)+P69</f>
        <v>23</v>
      </c>
      <c r="S69" s="222"/>
      <c r="T69" s="222"/>
      <c r="U69" s="50"/>
      <c r="V69" s="50"/>
      <c r="W69" s="50"/>
      <c r="X69" s="50">
        <f>AL69</f>
        <v>69</v>
      </c>
      <c r="Y69" s="120"/>
      <c r="Z69" s="96">
        <f>SUM(T69:X69)</f>
        <v>69</v>
      </c>
      <c r="AA69" s="97">
        <f>IF(C69=2011, Z69/3,Z69)+Y69</f>
        <v>69</v>
      </c>
      <c r="AB69" s="22"/>
      <c r="AC69" s="41"/>
      <c r="AD69" s="67">
        <f>27+6</f>
        <v>33</v>
      </c>
      <c r="AE69" s="41"/>
      <c r="AF69" s="41">
        <f>28+8</f>
        <v>36</v>
      </c>
      <c r="AG69" s="41"/>
      <c r="AH69" s="41"/>
      <c r="AJ69" s="95"/>
      <c r="AK69" s="96">
        <f>SUM(AC69:AI69)</f>
        <v>69</v>
      </c>
      <c r="AL69" s="97">
        <f>IF(C69=2015, AK69/3,AK69)+AJ69</f>
        <v>69</v>
      </c>
    </row>
    <row r="70" spans="1:57" x14ac:dyDescent="0.25">
      <c r="A70" s="60" t="s">
        <v>919</v>
      </c>
      <c r="B70" s="60" t="s">
        <v>702</v>
      </c>
      <c r="C70" s="62"/>
      <c r="D70" s="1">
        <f>R70+F70+E70</f>
        <v>3</v>
      </c>
      <c r="G70" s="237"/>
      <c r="I70" s="205"/>
      <c r="J70" s="196"/>
      <c r="K70" s="186"/>
      <c r="L70" s="170">
        <f>0+3</f>
        <v>3</v>
      </c>
      <c r="M70" s="50"/>
      <c r="N70" s="50"/>
      <c r="O70" s="219">
        <f>AA70</f>
        <v>0</v>
      </c>
      <c r="P70" s="120"/>
      <c r="Q70" s="96">
        <f>I70+J70+K70+L70+M70+N70+O70</f>
        <v>3</v>
      </c>
      <c r="R70" s="97">
        <f>IF(C70=2012, Q70/3,Q70)+P70</f>
        <v>3</v>
      </c>
      <c r="S70" s="22"/>
      <c r="T70" s="237"/>
      <c r="U70" s="50"/>
      <c r="V70" s="50"/>
      <c r="W70" s="50"/>
      <c r="X70" s="50"/>
      <c r="Y70" s="120"/>
      <c r="Z70" s="96">
        <f>SUM(T70:X70)</f>
        <v>0</v>
      </c>
      <c r="AA70" s="97">
        <f>IF(C70=2011, Z70/3,Z70)+Y70</f>
        <v>0</v>
      </c>
      <c r="AB70" s="22"/>
      <c r="AJ70" s="95"/>
      <c r="AK70" s="96"/>
      <c r="AL70" s="9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</row>
    <row r="71" spans="1:57" x14ac:dyDescent="0.25">
      <c r="A71" s="11" t="s">
        <v>340</v>
      </c>
      <c r="B71" s="60" t="s">
        <v>7</v>
      </c>
      <c r="C71" s="62">
        <v>2011</v>
      </c>
      <c r="D71" s="1">
        <f>R71+F71+E71</f>
        <v>11.666666666666666</v>
      </c>
      <c r="G71" s="120"/>
      <c r="I71" s="205"/>
      <c r="J71" s="196"/>
      <c r="K71" s="186"/>
      <c r="L71" s="170"/>
      <c r="M71" s="50"/>
      <c r="N71" s="50"/>
      <c r="O71" s="219">
        <f>AA71</f>
        <v>11.666666666666666</v>
      </c>
      <c r="P71" s="120"/>
      <c r="Q71" s="96">
        <f>I71+J71+K71+L71+M71+N71+O71</f>
        <v>11.666666666666666</v>
      </c>
      <c r="R71" s="97">
        <f>IF(C71=2012, Q71/3,Q71)+P71</f>
        <v>11.666666666666666</v>
      </c>
      <c r="S71" s="237"/>
      <c r="T71" s="205"/>
      <c r="U71" s="50">
        <f>8</f>
        <v>8</v>
      </c>
      <c r="V71" s="50"/>
      <c r="W71" s="50">
        <f>0+3+1</f>
        <v>4</v>
      </c>
      <c r="X71" s="50">
        <f>AL71</f>
        <v>23</v>
      </c>
      <c r="Y71" s="120"/>
      <c r="Z71" s="96">
        <f>SUM(T71:X71)</f>
        <v>35</v>
      </c>
      <c r="AA71" s="97">
        <f>IF(C71=2011, Z71/3,Z71)+Y71</f>
        <v>11.666666666666666</v>
      </c>
      <c r="AB71" s="22"/>
      <c r="AC71" s="41"/>
      <c r="AD71" s="67"/>
      <c r="AE71" s="41"/>
      <c r="AF71" s="41">
        <f>0</f>
        <v>0</v>
      </c>
      <c r="AG71" s="41">
        <f>21</f>
        <v>21</v>
      </c>
      <c r="AH71" s="41">
        <f>0+2</f>
        <v>2</v>
      </c>
      <c r="AJ71" s="95"/>
      <c r="AK71" s="96">
        <f>SUM(AC71:AI71)</f>
        <v>23</v>
      </c>
      <c r="AL71" s="97">
        <f>IF(C71=2015, AK71/3,AK71)+AJ71</f>
        <v>23</v>
      </c>
    </row>
    <row r="72" spans="1:57" x14ac:dyDescent="0.25">
      <c r="A72" s="77" t="s">
        <v>788</v>
      </c>
      <c r="B72" s="87" t="s">
        <v>633</v>
      </c>
      <c r="C72" s="3">
        <v>2011</v>
      </c>
      <c r="D72" s="1">
        <f>R72+F72+E72</f>
        <v>33</v>
      </c>
      <c r="E72" s="237"/>
      <c r="F72" s="237"/>
      <c r="G72" s="120"/>
      <c r="H72" s="237"/>
      <c r="I72" s="205"/>
      <c r="J72" s="196"/>
      <c r="K72" s="186"/>
      <c r="L72" s="170"/>
      <c r="M72" s="50">
        <f>14+3</f>
        <v>17</v>
      </c>
      <c r="N72" s="50">
        <f>14+2</f>
        <v>16</v>
      </c>
      <c r="O72" s="219">
        <f>AA72</f>
        <v>0</v>
      </c>
      <c r="P72" s="120"/>
      <c r="Q72" s="96">
        <f>I72+J72+K72+L72+M72+N72+O72</f>
        <v>33</v>
      </c>
      <c r="R72" s="97">
        <f>IF(C72=2012, Q72/3,Q72)+P72</f>
        <v>33</v>
      </c>
      <c r="S72" s="22"/>
      <c r="T72" s="219"/>
      <c r="U72" s="50"/>
      <c r="V72" s="50"/>
      <c r="W72" s="50"/>
      <c r="X72" s="50"/>
      <c r="Y72" s="120"/>
      <c r="Z72" s="96">
        <f>SUM(T72:X72)</f>
        <v>0</v>
      </c>
      <c r="AA72" s="97"/>
      <c r="AB72" s="22"/>
      <c r="AJ72" s="95"/>
      <c r="AK72" s="96"/>
      <c r="AL72" s="97"/>
    </row>
    <row r="73" spans="1:57" x14ac:dyDescent="0.25">
      <c r="A73" s="11" t="s">
        <v>830</v>
      </c>
      <c r="B73" s="60" t="s">
        <v>64</v>
      </c>
      <c r="C73" s="62">
        <v>2012</v>
      </c>
      <c r="D73" s="1">
        <f>R73+F73+E73</f>
        <v>10.666666666666666</v>
      </c>
      <c r="E73" s="156"/>
      <c r="F73" s="156"/>
      <c r="G73" s="122"/>
      <c r="H73" s="156"/>
      <c r="I73" s="205"/>
      <c r="J73" s="196"/>
      <c r="K73" s="191"/>
      <c r="L73" s="191"/>
      <c r="M73" s="191">
        <f>26</f>
        <v>26</v>
      </c>
      <c r="N73" s="191">
        <f>6</f>
        <v>6</v>
      </c>
      <c r="O73" s="219">
        <f>AA73</f>
        <v>0</v>
      </c>
      <c r="P73" s="154"/>
      <c r="Q73" s="96">
        <f>I73+J73+K73+L73+M73+N73+O73</f>
        <v>32</v>
      </c>
      <c r="R73" s="97">
        <f>IF(C73=2012, Q73/3,Q73)+P73</f>
        <v>10.666666666666666</v>
      </c>
      <c r="S73" s="238"/>
      <c r="T73" s="238"/>
      <c r="U73" s="191"/>
      <c r="V73" s="191"/>
      <c r="W73" s="191"/>
      <c r="X73" s="191"/>
      <c r="Y73" s="120"/>
      <c r="Z73" s="96">
        <f>SUM(T73:X73)</f>
        <v>0</v>
      </c>
      <c r="AA73" s="97">
        <f>IF(C73=2011, Z73/3,Z73)+Y73</f>
        <v>0</v>
      </c>
      <c r="AB73" s="22"/>
      <c r="AC73" s="153"/>
      <c r="AD73" s="153"/>
      <c r="AE73" s="153"/>
      <c r="AF73" s="153"/>
      <c r="AG73" s="153"/>
      <c r="AH73" s="153"/>
      <c r="AJ73" s="95"/>
      <c r="AK73" s="96"/>
      <c r="AL73" s="97"/>
    </row>
    <row r="74" spans="1:57" ht="14.25" customHeight="1" x14ac:dyDescent="0.25">
      <c r="A74" s="11" t="s">
        <v>45</v>
      </c>
      <c r="B74" s="11" t="s">
        <v>36</v>
      </c>
      <c r="C74" s="3">
        <v>2012</v>
      </c>
      <c r="D74" s="1">
        <f>R74+F74+E74</f>
        <v>69</v>
      </c>
      <c r="E74" s="237"/>
      <c r="F74" s="237"/>
      <c r="G74" s="120"/>
      <c r="H74" s="237"/>
      <c r="I74" s="205"/>
      <c r="J74" s="196"/>
      <c r="K74" s="186"/>
      <c r="L74" s="170"/>
      <c r="M74" s="50"/>
      <c r="N74" s="50"/>
      <c r="O74" s="219">
        <f>AA74</f>
        <v>207</v>
      </c>
      <c r="P74" s="120"/>
      <c r="Q74" s="96">
        <f>I74+J74+K74+L74+M74+N74+O74</f>
        <v>207</v>
      </c>
      <c r="R74" s="97">
        <f>IF(C74=2012, Q74/3,Q74)+P74</f>
        <v>69</v>
      </c>
      <c r="S74" s="222"/>
      <c r="T74" s="222"/>
      <c r="U74" s="50"/>
      <c r="V74" s="50">
        <f>50</f>
        <v>50</v>
      </c>
      <c r="W74" s="50">
        <f>40+21</f>
        <v>61</v>
      </c>
      <c r="X74" s="50">
        <f>AL74</f>
        <v>96</v>
      </c>
      <c r="Y74" s="120"/>
      <c r="Z74" s="96">
        <f>SUM(T74:X74)</f>
        <v>207</v>
      </c>
      <c r="AA74" s="97">
        <f>IF(C74=2011, Z74/3,Z74)+Y74</f>
        <v>207</v>
      </c>
      <c r="AB74" s="22"/>
      <c r="AC74" s="237">
        <v>0</v>
      </c>
      <c r="AD74" s="237"/>
      <c r="AE74" s="237"/>
      <c r="AF74" s="237">
        <f>44</f>
        <v>44</v>
      </c>
      <c r="AG74" s="237"/>
      <c r="AH74" s="237">
        <f>37+15</f>
        <v>52</v>
      </c>
      <c r="AI74" s="240"/>
      <c r="AJ74" s="95"/>
      <c r="AK74" s="96">
        <f>SUM(AC74:AI74)</f>
        <v>96</v>
      </c>
      <c r="AL74" s="97">
        <f>IF(C74=2015, AK74/3,AK74)+AJ74</f>
        <v>96</v>
      </c>
    </row>
    <row r="75" spans="1:57" x14ac:dyDescent="0.25">
      <c r="A75" s="77" t="s">
        <v>820</v>
      </c>
      <c r="B75" s="87" t="s">
        <v>587</v>
      </c>
      <c r="C75" s="3">
        <v>2011</v>
      </c>
      <c r="D75" s="1">
        <f>R75+F75+E75</f>
        <v>3</v>
      </c>
      <c r="E75" s="237"/>
      <c r="F75" s="237"/>
      <c r="G75" s="120"/>
      <c r="H75" s="237"/>
      <c r="I75" s="205"/>
      <c r="J75" s="196"/>
      <c r="K75" s="186"/>
      <c r="L75" s="170"/>
      <c r="M75" s="50"/>
      <c r="N75" s="50">
        <f>3</f>
        <v>3</v>
      </c>
      <c r="O75" s="219">
        <f>AA75</f>
        <v>0</v>
      </c>
      <c r="P75" s="120"/>
      <c r="Q75" s="96">
        <f>I75+J75+K75+L75+M75+N75+O75</f>
        <v>3</v>
      </c>
      <c r="R75" s="97">
        <f>IF(C75=2012, Q75/3,Q75)+P75</f>
        <v>3</v>
      </c>
      <c r="S75" s="22"/>
      <c r="T75" s="205"/>
      <c r="U75" s="50"/>
      <c r="V75" s="50"/>
      <c r="W75" s="50"/>
      <c r="X75" s="50"/>
      <c r="Y75" s="120"/>
      <c r="Z75" s="96">
        <f>SUM(T75:X75)</f>
        <v>0</v>
      </c>
      <c r="AA75" s="97"/>
      <c r="AB75" s="22"/>
      <c r="AJ75" s="95"/>
      <c r="AK75" s="96"/>
      <c r="AL75" s="97"/>
    </row>
    <row r="76" spans="1:57" x14ac:dyDescent="0.25">
      <c r="A76" s="11" t="s">
        <v>899</v>
      </c>
      <c r="B76" s="60" t="s">
        <v>406</v>
      </c>
      <c r="C76" s="62">
        <v>2012</v>
      </c>
      <c r="D76" s="1">
        <f>R76+F76+E76</f>
        <v>0</v>
      </c>
      <c r="G76" s="237"/>
      <c r="I76" s="205"/>
      <c r="J76" s="196"/>
      <c r="K76" s="186"/>
      <c r="L76" s="170">
        <f>0</f>
        <v>0</v>
      </c>
      <c r="M76" s="50"/>
      <c r="N76" s="50"/>
      <c r="O76" s="219">
        <f>AA76</f>
        <v>0</v>
      </c>
      <c r="P76" s="154"/>
      <c r="Q76" s="96">
        <f>I76+J76+K76+L76+M76+N76+O76</f>
        <v>0</v>
      </c>
      <c r="R76" s="97">
        <f>IF(C76=2012, Q76/3,Q76)+P76</f>
        <v>0</v>
      </c>
      <c r="S76" s="238"/>
      <c r="T76" s="238"/>
      <c r="U76" s="50"/>
      <c r="V76" s="50"/>
      <c r="W76" s="50"/>
      <c r="X76" s="50"/>
      <c r="Y76" s="120"/>
      <c r="Z76" s="96">
        <f>SUM(T76:X76)</f>
        <v>0</v>
      </c>
      <c r="AA76" s="97">
        <f>IF(C76=2011, Z76/3,Z76)+Y76</f>
        <v>0</v>
      </c>
      <c r="AB76" s="22"/>
      <c r="AC76" s="153"/>
      <c r="AD76" s="153"/>
      <c r="AE76" s="153"/>
      <c r="AF76" s="153"/>
      <c r="AG76" s="153"/>
      <c r="AH76" s="153"/>
      <c r="AJ76" s="95"/>
      <c r="AK76" s="96"/>
      <c r="AL76" s="97"/>
    </row>
    <row r="77" spans="1:57" s="17" customFormat="1" x14ac:dyDescent="0.25">
      <c r="A77" s="11" t="s">
        <v>135</v>
      </c>
      <c r="B77" s="60" t="s">
        <v>86</v>
      </c>
      <c r="C77" s="62">
        <v>2011</v>
      </c>
      <c r="D77" s="1">
        <f>R77+F77+E77</f>
        <v>4.333333333333333</v>
      </c>
      <c r="E77" s="156"/>
      <c r="F77" s="156"/>
      <c r="G77" s="154"/>
      <c r="H77" s="156"/>
      <c r="I77" s="205"/>
      <c r="J77" s="196"/>
      <c r="K77" s="186"/>
      <c r="L77" s="170"/>
      <c r="M77" s="50"/>
      <c r="N77" s="50"/>
      <c r="O77" s="219">
        <f>AA77</f>
        <v>4.333333333333333</v>
      </c>
      <c r="P77" s="120"/>
      <c r="Q77" s="96">
        <f>I77+J77+K77+L77+M77+N77+O77</f>
        <v>4.333333333333333</v>
      </c>
      <c r="R77" s="97">
        <f>IF(C77=2012, Q77/3,Q77)+P77</f>
        <v>4.333333333333333</v>
      </c>
      <c r="S77" s="237"/>
      <c r="T77" s="50"/>
      <c r="U77" s="50"/>
      <c r="V77" s="50"/>
      <c r="W77" s="50"/>
      <c r="X77" s="50">
        <f>AL77</f>
        <v>13</v>
      </c>
      <c r="Y77" s="120"/>
      <c r="Z77" s="96">
        <f>SUM(T77:X77)</f>
        <v>13</v>
      </c>
      <c r="AA77" s="97">
        <f>IF(C77=2011, Z77/3,Z77)+Y77</f>
        <v>4.333333333333333</v>
      </c>
      <c r="AB77" s="22"/>
      <c r="AC77" s="41"/>
      <c r="AD77" s="41">
        <f>8+2</f>
        <v>10</v>
      </c>
      <c r="AE77" s="41"/>
      <c r="AF77" s="41">
        <f>0+3</f>
        <v>3</v>
      </c>
      <c r="AG77" s="41"/>
      <c r="AH77" s="41"/>
      <c r="AI77" s="13"/>
      <c r="AJ77" s="95"/>
      <c r="AK77" s="96">
        <f>SUM(AC77:AI77)</f>
        <v>13</v>
      </c>
      <c r="AL77" s="97">
        <f>IF(C77=2015, AK77/3,AK77)+AJ77</f>
        <v>13</v>
      </c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1:57" x14ac:dyDescent="0.25">
      <c r="A78" s="77" t="s">
        <v>707</v>
      </c>
      <c r="B78" s="87" t="s">
        <v>706</v>
      </c>
      <c r="C78" s="3">
        <v>2010</v>
      </c>
      <c r="D78" s="1">
        <f>R78+F78+E78</f>
        <v>3</v>
      </c>
      <c r="G78" s="120"/>
      <c r="I78" s="219"/>
      <c r="J78" s="219"/>
      <c r="K78" s="219"/>
      <c r="L78" s="219"/>
      <c r="M78" s="219"/>
      <c r="N78" s="219"/>
      <c r="O78" s="219">
        <f>AA78</f>
        <v>3</v>
      </c>
      <c r="P78" s="120"/>
      <c r="Q78" s="96">
        <f>I78+J78+K78+L78+M78+N78+O78</f>
        <v>3</v>
      </c>
      <c r="R78" s="97">
        <f>IF(C78=2012, Q78/3,Q78)+P78</f>
        <v>3</v>
      </c>
      <c r="S78" s="22"/>
      <c r="T78" s="50"/>
      <c r="U78" s="50">
        <f>3</f>
        <v>3</v>
      </c>
      <c r="V78" s="50"/>
      <c r="W78" s="50"/>
      <c r="X78" s="50"/>
      <c r="Y78" s="120"/>
      <c r="Z78" s="96">
        <f>SUM(T78:X78)</f>
        <v>3</v>
      </c>
      <c r="AA78" s="97">
        <f>IF(C78=2011, Z78/3,Z78)+Y78</f>
        <v>3</v>
      </c>
      <c r="AB78" s="22"/>
      <c r="AJ78" s="95"/>
      <c r="AK78" s="96"/>
      <c r="AL78" s="97"/>
    </row>
    <row r="79" spans="1:57" s="17" customFormat="1" x14ac:dyDescent="0.25">
      <c r="A79" s="11" t="s">
        <v>318</v>
      </c>
      <c r="B79" s="60" t="s">
        <v>273</v>
      </c>
      <c r="C79" s="62">
        <v>2012</v>
      </c>
      <c r="D79" s="1">
        <f>R79+F79+E79</f>
        <v>0</v>
      </c>
      <c r="E79" s="156"/>
      <c r="F79" s="156"/>
      <c r="G79" s="154"/>
      <c r="H79" s="156"/>
      <c r="I79" s="205"/>
      <c r="J79" s="196"/>
      <c r="K79" s="186"/>
      <c r="L79" s="170"/>
      <c r="M79" s="50"/>
      <c r="N79" s="50"/>
      <c r="O79" s="219">
        <f>AA79</f>
        <v>0</v>
      </c>
      <c r="P79" s="120"/>
      <c r="Q79" s="96">
        <f>I79+J79+K79+L79+M79+N79+O79</f>
        <v>0</v>
      </c>
      <c r="R79" s="97">
        <f>IF(C79=2012, Q79/3,Q79)+P79</f>
        <v>0</v>
      </c>
      <c r="S79" s="238"/>
      <c r="T79" s="238"/>
      <c r="U79" s="50"/>
      <c r="V79" s="50"/>
      <c r="W79" s="50"/>
      <c r="X79" s="50">
        <f>AL79</f>
        <v>0</v>
      </c>
      <c r="Y79" s="120"/>
      <c r="Z79" s="96">
        <f>SUM(T79:X79)</f>
        <v>0</v>
      </c>
      <c r="AA79" s="97">
        <f>IF(C79=2011, Z79/3,Z79)+Y79</f>
        <v>0</v>
      </c>
      <c r="AB79" s="22"/>
      <c r="AC79" s="41"/>
      <c r="AD79" s="41"/>
      <c r="AE79" s="41"/>
      <c r="AF79" s="41">
        <f>0</f>
        <v>0</v>
      </c>
      <c r="AG79" s="41"/>
      <c r="AH79" s="41"/>
      <c r="AI79" s="13"/>
      <c r="AJ79" s="95"/>
      <c r="AK79" s="96">
        <f>SUM(AC79:AI79)</f>
        <v>0</v>
      </c>
      <c r="AL79" s="97">
        <f>IF(C79=2015, AK79/3,AK79)+AJ79</f>
        <v>0</v>
      </c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1:57" x14ac:dyDescent="0.25">
      <c r="A80" s="77" t="s">
        <v>647</v>
      </c>
      <c r="B80" s="87" t="s">
        <v>232</v>
      </c>
      <c r="D80" s="1">
        <f>R80+F80+E80</f>
        <v>14</v>
      </c>
      <c r="E80" s="108"/>
      <c r="F80" s="108"/>
      <c r="G80" s="122"/>
      <c r="H80" s="108"/>
      <c r="I80" s="237"/>
      <c r="J80" s="237"/>
      <c r="K80" s="237"/>
      <c r="L80" s="237"/>
      <c r="M80" s="237"/>
      <c r="N80" s="237"/>
      <c r="O80" s="219">
        <f>AA80</f>
        <v>14</v>
      </c>
      <c r="P80" s="120"/>
      <c r="Q80" s="96">
        <f>I80+J80+K80+L80+M80+N80+O80</f>
        <v>14</v>
      </c>
      <c r="R80" s="97">
        <f>IF(C80=2012, Q80/3,Q80)+P80</f>
        <v>14</v>
      </c>
      <c r="S80" s="22"/>
      <c r="T80" s="219"/>
      <c r="U80" s="50"/>
      <c r="V80" s="50">
        <f>14</f>
        <v>14</v>
      </c>
      <c r="W80" s="50"/>
      <c r="X80" s="50"/>
      <c r="Y80" s="120"/>
      <c r="Z80" s="96">
        <f>SUM(T80:X80)</f>
        <v>14</v>
      </c>
      <c r="AA80" s="97">
        <f>IF(C80=2011, Z80/3,Z80)+Y80</f>
        <v>14</v>
      </c>
      <c r="AB80" s="22"/>
      <c r="AJ80" s="95"/>
      <c r="AK80" s="96"/>
      <c r="AL80" s="97"/>
    </row>
    <row r="81" spans="1:57" s="17" customFormat="1" x14ac:dyDescent="0.25">
      <c r="A81" s="77" t="s">
        <v>814</v>
      </c>
      <c r="B81" s="87" t="s">
        <v>587</v>
      </c>
      <c r="C81" s="3">
        <v>2009</v>
      </c>
      <c r="D81" s="1">
        <f>R81+F81+E81</f>
        <v>12</v>
      </c>
      <c r="E81" s="237"/>
      <c r="F81" s="237"/>
      <c r="G81" s="154"/>
      <c r="H81" s="237"/>
      <c r="I81" s="219"/>
      <c r="J81" s="219"/>
      <c r="K81" s="219"/>
      <c r="L81" s="219"/>
      <c r="M81" s="219"/>
      <c r="N81" s="219">
        <f>12</f>
        <v>12</v>
      </c>
      <c r="O81" s="219">
        <f>AA81</f>
        <v>0</v>
      </c>
      <c r="P81" s="120"/>
      <c r="Q81" s="96">
        <f>I81+J81+K81+L81+M81+N81+O81</f>
        <v>12</v>
      </c>
      <c r="R81" s="97">
        <f>IF(C81=2012, Q81/3,Q81)+P81</f>
        <v>12</v>
      </c>
      <c r="S81" s="22"/>
      <c r="T81" s="219"/>
      <c r="U81" s="50"/>
      <c r="V81" s="50"/>
      <c r="W81" s="50"/>
      <c r="X81" s="50"/>
      <c r="Y81" s="120"/>
      <c r="Z81" s="96">
        <f>SUM(T81:X81)</f>
        <v>0</v>
      </c>
      <c r="AA81" s="97"/>
      <c r="AB81" s="22"/>
      <c r="AC81" s="13"/>
      <c r="AD81" s="13"/>
      <c r="AE81" s="13"/>
      <c r="AF81" s="13"/>
      <c r="AG81" s="13"/>
      <c r="AH81" s="13"/>
      <c r="AI81" s="13"/>
      <c r="AJ81" s="95"/>
      <c r="AK81" s="96"/>
      <c r="AL81" s="97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1:57" s="17" customFormat="1" x14ac:dyDescent="0.25">
      <c r="A82" s="77" t="s">
        <v>915</v>
      </c>
      <c r="B82" s="87" t="s">
        <v>64</v>
      </c>
      <c r="C82" s="3"/>
      <c r="D82" s="1">
        <f>R82+F82+E82</f>
        <v>3</v>
      </c>
      <c r="E82" s="237"/>
      <c r="F82" s="237"/>
      <c r="G82" s="237"/>
      <c r="H82" s="237"/>
      <c r="I82" s="237"/>
      <c r="J82" s="237"/>
      <c r="K82" s="237"/>
      <c r="L82" s="237">
        <f>0+3</f>
        <v>3</v>
      </c>
      <c r="M82" s="237"/>
      <c r="N82" s="237"/>
      <c r="O82" s="219">
        <f>AA82</f>
        <v>0</v>
      </c>
      <c r="P82" s="120"/>
      <c r="Q82" s="96">
        <f>I82+J82+K82+L82+M82+N82+O82</f>
        <v>3</v>
      </c>
      <c r="R82" s="97">
        <f>IF(C82=2012, Q82/3,Q82)+P82</f>
        <v>3</v>
      </c>
      <c r="S82" s="22"/>
      <c r="T82" s="237"/>
      <c r="U82" s="50"/>
      <c r="V82" s="50"/>
      <c r="W82" s="50"/>
      <c r="X82" s="50"/>
      <c r="Y82" s="120"/>
      <c r="Z82" s="96">
        <f>SUM(T82:X82)</f>
        <v>0</v>
      </c>
      <c r="AA82" s="97">
        <f>IF(C82=2011, Z82/3,Z82)+Y82</f>
        <v>0</v>
      </c>
      <c r="AB82" s="22"/>
      <c r="AC82" s="13"/>
      <c r="AD82" s="13"/>
      <c r="AE82" s="13"/>
      <c r="AF82" s="13"/>
      <c r="AG82" s="13"/>
      <c r="AH82" s="13"/>
      <c r="AI82" s="13"/>
      <c r="AJ82" s="95"/>
      <c r="AK82" s="96"/>
      <c r="AL82" s="97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1:57" s="17" customFormat="1" x14ac:dyDescent="0.25">
      <c r="A83" s="60" t="s">
        <v>909</v>
      </c>
      <c r="B83" s="65" t="s">
        <v>63</v>
      </c>
      <c r="C83" s="62">
        <v>2011</v>
      </c>
      <c r="D83" s="1">
        <f>R83+F83+E83</f>
        <v>47</v>
      </c>
      <c r="E83" s="237"/>
      <c r="F83" s="237"/>
      <c r="G83" s="237"/>
      <c r="H83" s="237"/>
      <c r="I83" s="205">
        <f>11+2</f>
        <v>13</v>
      </c>
      <c r="J83" s="196">
        <f>12+4</f>
        <v>16</v>
      </c>
      <c r="K83" s="186">
        <f>0</f>
        <v>0</v>
      </c>
      <c r="L83" s="170">
        <f>18</f>
        <v>18</v>
      </c>
      <c r="M83" s="50"/>
      <c r="N83" s="50"/>
      <c r="O83" s="219">
        <f>AA83</f>
        <v>0</v>
      </c>
      <c r="P83" s="120"/>
      <c r="Q83" s="96">
        <f>I83+J83+K83+L83+M83+N83+O83</f>
        <v>47</v>
      </c>
      <c r="R83" s="97">
        <f>IF(C83=2012, Q83/3,Q83)+P83</f>
        <v>47</v>
      </c>
      <c r="S83" s="22"/>
      <c r="T83" s="50"/>
      <c r="U83" s="50"/>
      <c r="V83" s="50"/>
      <c r="W83" s="50"/>
      <c r="X83" s="50"/>
      <c r="Y83" s="120"/>
      <c r="Z83" s="96">
        <f>SUM(T83:X83)</f>
        <v>0</v>
      </c>
      <c r="AA83" s="97">
        <f>IF(C83=2011, Z83/3,Z83)+Y83</f>
        <v>0</v>
      </c>
      <c r="AB83" s="22"/>
      <c r="AC83" s="13"/>
      <c r="AD83" s="13"/>
      <c r="AE83" s="13"/>
      <c r="AF83" s="13"/>
      <c r="AG83" s="13"/>
      <c r="AH83" s="13"/>
      <c r="AI83" s="13"/>
      <c r="AJ83" s="95"/>
      <c r="AK83" s="96"/>
      <c r="AL83" s="97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spans="1:57" s="17" customFormat="1" x14ac:dyDescent="0.25">
      <c r="A84" s="60" t="s">
        <v>387</v>
      </c>
      <c r="B84" s="65" t="s">
        <v>380</v>
      </c>
      <c r="C84" s="62">
        <v>2009</v>
      </c>
      <c r="D84" s="1">
        <f>R84+F84+E84</f>
        <v>0</v>
      </c>
      <c r="E84" s="156"/>
      <c r="F84" s="156"/>
      <c r="G84" s="122"/>
      <c r="H84" s="156"/>
      <c r="I84" s="237"/>
      <c r="J84" s="237"/>
      <c r="K84" s="237"/>
      <c r="L84" s="237"/>
      <c r="M84" s="237"/>
      <c r="N84" s="237"/>
      <c r="O84" s="219">
        <f>AA84</f>
        <v>0</v>
      </c>
      <c r="P84" s="120"/>
      <c r="Q84" s="96">
        <f>I84+J84+K84+L84+M84+N84+O84</f>
        <v>0</v>
      </c>
      <c r="R84" s="97">
        <f>IF(C84=2012, Q84/3,Q84)+P84</f>
        <v>0</v>
      </c>
      <c r="S84" s="22"/>
      <c r="T84" s="237"/>
      <c r="U84" s="50"/>
      <c r="V84" s="50"/>
      <c r="W84" s="50"/>
      <c r="X84" s="50">
        <f>AL84</f>
        <v>0</v>
      </c>
      <c r="Y84" s="120"/>
      <c r="Z84" s="96">
        <f>SUM(T84:X84)</f>
        <v>0</v>
      </c>
      <c r="AA84" s="97">
        <f>IF(C84=2011, Z84/3,Z84)+Y84</f>
        <v>0</v>
      </c>
      <c r="AB84" s="22"/>
      <c r="AC84" s="13"/>
      <c r="AD84" s="13"/>
      <c r="AE84" s="13"/>
      <c r="AF84" s="13">
        <f>0</f>
        <v>0</v>
      </c>
      <c r="AG84" s="13"/>
      <c r="AH84" s="13"/>
      <c r="AI84" s="13"/>
      <c r="AJ84" s="95"/>
      <c r="AK84" s="96">
        <f>SUM(AC84:AI84)</f>
        <v>0</v>
      </c>
      <c r="AL84" s="97">
        <f>IF(C84=2010, AK84/3,AK84)+AJ84</f>
        <v>0</v>
      </c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</row>
    <row r="85" spans="1:57" x14ac:dyDescent="0.25">
      <c r="A85" s="11" t="s">
        <v>127</v>
      </c>
      <c r="B85" s="60" t="s">
        <v>111</v>
      </c>
      <c r="C85" s="62">
        <v>2011</v>
      </c>
      <c r="D85" s="1">
        <f>R85+F85+E85</f>
        <v>117.33333333333333</v>
      </c>
      <c r="G85" s="120"/>
      <c r="I85" s="205"/>
      <c r="J85" s="196"/>
      <c r="K85" s="186"/>
      <c r="L85" s="170"/>
      <c r="M85" s="50"/>
      <c r="N85" s="50"/>
      <c r="O85" s="219">
        <f>AA85</f>
        <v>117.33333333333333</v>
      </c>
      <c r="P85" s="120"/>
      <c r="Q85" s="96">
        <f>I85+J85+K85+L85+M85+N85+O85</f>
        <v>117.33333333333333</v>
      </c>
      <c r="R85" s="97">
        <f>IF(C85=2012, Q85/3,Q85)+P85</f>
        <v>117.33333333333333</v>
      </c>
      <c r="S85" s="237"/>
      <c r="T85" s="50"/>
      <c r="U85" s="50">
        <f>50</f>
        <v>50</v>
      </c>
      <c r="V85" s="50">
        <f>52</f>
        <v>52</v>
      </c>
      <c r="W85" s="50">
        <f>32</f>
        <v>32</v>
      </c>
      <c r="X85" s="50">
        <f>AL85</f>
        <v>194</v>
      </c>
      <c r="Y85" s="120">
        <f>8</f>
        <v>8</v>
      </c>
      <c r="Z85" s="96">
        <f>SUM(T85:X85)</f>
        <v>328</v>
      </c>
      <c r="AA85" s="97">
        <f>IF(C85=2011, Z85/3,Z85)+Y85</f>
        <v>117.33333333333333</v>
      </c>
      <c r="AB85" s="22"/>
      <c r="AC85" s="41"/>
      <c r="AD85" s="41">
        <f>20+5</f>
        <v>25</v>
      </c>
      <c r="AE85" s="41"/>
      <c r="AF85" s="41">
        <f>45+6</f>
        <v>51</v>
      </c>
      <c r="AG85" s="41">
        <f>36+15</f>
        <v>51</v>
      </c>
      <c r="AH85" s="41">
        <f>37+30</f>
        <v>67</v>
      </c>
      <c r="AJ85" s="95"/>
      <c r="AK85" s="96">
        <f>SUM(AC85:AI85)</f>
        <v>194</v>
      </c>
      <c r="AL85" s="97">
        <f>IF(C85=2015, AK85/3,AK85)+AJ85</f>
        <v>194</v>
      </c>
    </row>
    <row r="86" spans="1:57" s="17" customFormat="1" x14ac:dyDescent="0.25">
      <c r="A86" s="60" t="s">
        <v>593</v>
      </c>
      <c r="B86" s="65" t="s">
        <v>587</v>
      </c>
      <c r="C86" s="62">
        <v>2010</v>
      </c>
      <c r="D86" s="1">
        <f>R86+F86+E86</f>
        <v>6</v>
      </c>
      <c r="E86" s="233"/>
      <c r="F86" s="219"/>
      <c r="G86" s="120"/>
      <c r="H86" s="219"/>
      <c r="I86" s="205"/>
      <c r="J86" s="196"/>
      <c r="K86" s="186"/>
      <c r="L86" s="170"/>
      <c r="M86" s="50"/>
      <c r="N86" s="50">
        <f>3</f>
        <v>3</v>
      </c>
      <c r="O86" s="219">
        <f>AA86</f>
        <v>3</v>
      </c>
      <c r="P86" s="120"/>
      <c r="Q86" s="96">
        <f>I86+J86+K86+L86+M86+N86+O86</f>
        <v>6</v>
      </c>
      <c r="R86" s="97">
        <f>IF(C86=2012, Q86/3,Q86)+P86</f>
        <v>6</v>
      </c>
      <c r="S86" s="22"/>
      <c r="T86" s="50"/>
      <c r="U86" s="50"/>
      <c r="V86" s="50"/>
      <c r="W86" s="50">
        <f>3</f>
        <v>3</v>
      </c>
      <c r="X86" s="50"/>
      <c r="Y86" s="120"/>
      <c r="Z86" s="96">
        <f>SUM(T86:X86)</f>
        <v>3</v>
      </c>
      <c r="AA86" s="97">
        <f>IF(C86=2011, Z86/3,Z86)+Y86</f>
        <v>3</v>
      </c>
      <c r="AB86" s="22"/>
      <c r="AC86" s="13"/>
      <c r="AD86" s="13"/>
      <c r="AE86" s="13"/>
      <c r="AF86" s="13"/>
      <c r="AG86" s="13"/>
      <c r="AH86" s="13"/>
      <c r="AI86" s="13"/>
      <c r="AJ86" s="95"/>
      <c r="AK86" s="96">
        <f>SUM(AC86:AI86)</f>
        <v>0</v>
      </c>
      <c r="AL86" s="97">
        <f>IF(C86=2010, AK86/3,AK86)+AJ86</f>
        <v>0</v>
      </c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 x14ac:dyDescent="0.25">
      <c r="A87" s="11" t="s">
        <v>727</v>
      </c>
      <c r="B87" s="11" t="s">
        <v>63</v>
      </c>
      <c r="C87" s="3">
        <v>2011</v>
      </c>
      <c r="D87" s="1">
        <f>R87+F87+E87</f>
        <v>6</v>
      </c>
      <c r="E87" s="156"/>
      <c r="F87" s="156"/>
      <c r="G87" s="154"/>
      <c r="H87" s="156"/>
      <c r="O87" s="219">
        <f>AA87</f>
        <v>6</v>
      </c>
      <c r="P87" s="154"/>
      <c r="Q87" s="96">
        <f>I87+J87+K87+L87+M87+N87+O87</f>
        <v>6</v>
      </c>
      <c r="R87" s="97">
        <f>IF(C87=2012, Q87/3,Q87)+P87</f>
        <v>6</v>
      </c>
      <c r="S87" s="101"/>
      <c r="T87" s="237">
        <f>12</f>
        <v>12</v>
      </c>
      <c r="U87" s="219"/>
      <c r="V87" s="219"/>
      <c r="W87" s="219"/>
      <c r="X87" s="219"/>
      <c r="Y87" s="120">
        <f>2</f>
        <v>2</v>
      </c>
      <c r="Z87" s="96">
        <f>SUM(T87:X87)</f>
        <v>12</v>
      </c>
      <c r="AA87" s="97">
        <f>IF(C87=2011, Z87/3,Z87)+Y87</f>
        <v>6</v>
      </c>
      <c r="AB87" s="101"/>
      <c r="AC87" s="153"/>
      <c r="AD87" s="153"/>
      <c r="AE87" s="153"/>
      <c r="AF87" s="153"/>
      <c r="AG87" s="153"/>
      <c r="AH87" s="153"/>
      <c r="AI87" s="153"/>
      <c r="AJ87" s="95"/>
      <c r="AK87" s="96">
        <f>SUM(AC87:AI87)</f>
        <v>0</v>
      </c>
      <c r="AL87" s="97">
        <f>IF(C87=2010, AK87/3,AK87)+AJ87</f>
        <v>0</v>
      </c>
    </row>
    <row r="88" spans="1:57" x14ac:dyDescent="0.25">
      <c r="A88" s="11" t="s">
        <v>727</v>
      </c>
      <c r="B88" s="11" t="s">
        <v>63</v>
      </c>
      <c r="C88" s="3">
        <v>2011</v>
      </c>
      <c r="D88" s="1">
        <f>R88+F88+E88</f>
        <v>6</v>
      </c>
      <c r="E88" s="156"/>
      <c r="F88" s="156"/>
      <c r="G88" s="154"/>
      <c r="H88" s="156"/>
      <c r="I88" s="205"/>
      <c r="J88" s="196"/>
      <c r="K88" s="186"/>
      <c r="L88" s="170"/>
      <c r="M88" s="50"/>
      <c r="N88" s="50"/>
      <c r="O88" s="219">
        <f>AA88</f>
        <v>6</v>
      </c>
      <c r="P88" s="120"/>
      <c r="Q88" s="96">
        <f>I88+J88+K88+L88+M88+N88+O88</f>
        <v>6</v>
      </c>
      <c r="R88" s="97">
        <f>IF(C88=2012, Q88/3,Q88)+P88</f>
        <v>6</v>
      </c>
      <c r="S88" s="219"/>
      <c r="T88" s="50">
        <f>12</f>
        <v>12</v>
      </c>
      <c r="U88" s="50"/>
      <c r="V88" s="50"/>
      <c r="W88" s="50"/>
      <c r="X88" s="50"/>
      <c r="Y88" s="120">
        <f>2</f>
        <v>2</v>
      </c>
      <c r="Z88" s="96">
        <f>SUM(T88:X88)</f>
        <v>12</v>
      </c>
      <c r="AA88" s="97">
        <f>IF(C88=2011, Z88/3,Z88)+Y88</f>
        <v>6</v>
      </c>
      <c r="AB88" s="101"/>
      <c r="AC88" s="41"/>
      <c r="AD88" s="41"/>
      <c r="AE88" s="41"/>
      <c r="AF88" s="41"/>
      <c r="AG88" s="41"/>
      <c r="AH88" s="41"/>
      <c r="AI88" s="41"/>
      <c r="AJ88" s="95"/>
      <c r="AK88" s="96"/>
      <c r="AL88" s="97"/>
    </row>
    <row r="89" spans="1:57" x14ac:dyDescent="0.25">
      <c r="A89" s="11" t="s">
        <v>765</v>
      </c>
      <c r="B89" s="11" t="s">
        <v>297</v>
      </c>
      <c r="C89" s="3">
        <v>2012</v>
      </c>
      <c r="D89" s="1">
        <f>R89+F89+E89</f>
        <v>1</v>
      </c>
      <c r="E89" s="108"/>
      <c r="F89" s="108"/>
      <c r="G89" s="122"/>
      <c r="H89" s="108"/>
      <c r="N89" s="156">
        <f>0</f>
        <v>0</v>
      </c>
      <c r="O89" s="219">
        <f>AA89</f>
        <v>0</v>
      </c>
      <c r="P89" s="154">
        <f>1</f>
        <v>1</v>
      </c>
      <c r="Q89" s="96">
        <f>I89+J89+K89+L89+M89+N89+O89</f>
        <v>0</v>
      </c>
      <c r="R89" s="97">
        <f>IF(C89=2012, Q89/3,Q89)+P89</f>
        <v>1</v>
      </c>
      <c r="S89" s="238"/>
      <c r="T89" s="238"/>
      <c r="U89" s="50"/>
      <c r="V89" s="50"/>
      <c r="W89" s="50"/>
      <c r="X89" s="50"/>
      <c r="Y89" s="120"/>
      <c r="Z89" s="96">
        <f>SUM(T89:X89)</f>
        <v>0</v>
      </c>
      <c r="AA89" s="97">
        <f>IF(C89=2011, Z89/3,Z89)+Y89</f>
        <v>0</v>
      </c>
      <c r="AB89" s="101"/>
      <c r="AC89" s="153"/>
      <c r="AD89" s="153"/>
      <c r="AE89" s="153"/>
      <c r="AF89" s="153"/>
      <c r="AG89" s="153"/>
      <c r="AH89" s="153"/>
      <c r="AI89" s="153"/>
      <c r="AJ89" s="95"/>
      <c r="AK89" s="96"/>
      <c r="AL89" s="97"/>
    </row>
    <row r="90" spans="1:57" x14ac:dyDescent="0.25">
      <c r="A90" s="11" t="s">
        <v>859</v>
      </c>
      <c r="B90" s="11" t="s">
        <v>633</v>
      </c>
      <c r="C90" s="3">
        <v>2010</v>
      </c>
      <c r="D90" s="1">
        <f>R90+F90+E90</f>
        <v>8</v>
      </c>
      <c r="E90" s="156"/>
      <c r="F90" s="156"/>
      <c r="G90" s="154"/>
      <c r="H90" s="156"/>
      <c r="I90" s="205"/>
      <c r="J90" s="196"/>
      <c r="K90" s="186"/>
      <c r="L90" s="170"/>
      <c r="M90" s="50">
        <f>6+2</f>
        <v>8</v>
      </c>
      <c r="N90" s="50"/>
      <c r="O90" s="219">
        <f>AA90</f>
        <v>0</v>
      </c>
      <c r="P90" s="120"/>
      <c r="Q90" s="96">
        <f>I90+J90+K90+L90+M90+N90+O90</f>
        <v>8</v>
      </c>
      <c r="R90" s="97">
        <f>IF(C90=2012, Q90/3,Q90)+P90</f>
        <v>8</v>
      </c>
      <c r="S90" s="237"/>
      <c r="T90" s="50"/>
      <c r="U90" s="50"/>
      <c r="V90" s="50"/>
      <c r="W90" s="50"/>
      <c r="X90" s="50"/>
      <c r="Y90" s="120"/>
      <c r="Z90" s="96">
        <f>SUM(T90:X90)</f>
        <v>0</v>
      </c>
      <c r="AA90" s="97">
        <f>IF(C90=2011, Z90/3,Z90)+Y90</f>
        <v>0</v>
      </c>
      <c r="AB90" s="101"/>
      <c r="AC90" s="41"/>
      <c r="AD90" s="41"/>
      <c r="AE90" s="41"/>
      <c r="AF90" s="41"/>
      <c r="AG90" s="41"/>
      <c r="AH90" s="41"/>
      <c r="AI90" s="41"/>
      <c r="AJ90" s="95"/>
      <c r="AK90" s="96"/>
      <c r="AL90" s="97"/>
    </row>
    <row r="91" spans="1:57" s="17" customFormat="1" x14ac:dyDescent="0.25">
      <c r="A91" s="11" t="s">
        <v>687</v>
      </c>
      <c r="B91" s="11" t="s">
        <v>7</v>
      </c>
      <c r="C91" s="3">
        <v>2012</v>
      </c>
      <c r="D91" s="1">
        <f>R91+F91+E91</f>
        <v>54.333333333333336</v>
      </c>
      <c r="E91" s="156"/>
      <c r="F91" s="156"/>
      <c r="G91" s="154"/>
      <c r="H91" s="156"/>
      <c r="I91" s="156"/>
      <c r="J91" s="156"/>
      <c r="K91" s="156"/>
      <c r="L91" s="156">
        <f>44</f>
        <v>44</v>
      </c>
      <c r="M91" s="156">
        <f>72</f>
        <v>72</v>
      </c>
      <c r="N91" s="156">
        <f>16</f>
        <v>16</v>
      </c>
      <c r="O91" s="219">
        <f>AA91</f>
        <v>31</v>
      </c>
      <c r="P91" s="154"/>
      <c r="Q91" s="96">
        <f>I91+J91+K91+L91+M91+N91+O91</f>
        <v>163</v>
      </c>
      <c r="R91" s="97">
        <f>IF(C91=2012, Q91/3,Q91)+P91</f>
        <v>54.333333333333336</v>
      </c>
      <c r="S91" s="238"/>
      <c r="T91" s="238"/>
      <c r="U91" s="50">
        <f>31</f>
        <v>31</v>
      </c>
      <c r="V91" s="50"/>
      <c r="W91" s="50"/>
      <c r="X91" s="50"/>
      <c r="Y91" s="120"/>
      <c r="Z91" s="96">
        <f>SUM(T91:X91)</f>
        <v>31</v>
      </c>
      <c r="AA91" s="97">
        <f>IF(C91=2011, Z91/3,Z91)+Y91</f>
        <v>31</v>
      </c>
      <c r="AB91" s="101"/>
      <c r="AC91" s="153"/>
      <c r="AD91" s="153"/>
      <c r="AE91" s="153"/>
      <c r="AF91" s="153"/>
      <c r="AG91" s="153"/>
      <c r="AH91" s="153"/>
      <c r="AI91" s="153"/>
      <c r="AJ91" s="95"/>
      <c r="AK91" s="96">
        <f>SUM(AC91:AI91)</f>
        <v>0</v>
      </c>
      <c r="AL91" s="97">
        <f>IF(C91=2015, AK91/3,AK91)+AJ91</f>
        <v>0</v>
      </c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spans="1:57" x14ac:dyDescent="0.25">
      <c r="A92" s="60" t="s">
        <v>671</v>
      </c>
      <c r="B92" s="65" t="s">
        <v>663</v>
      </c>
      <c r="C92" s="62"/>
      <c r="D92" s="1">
        <f>R92+F92+E92</f>
        <v>21</v>
      </c>
      <c r="G92" s="120"/>
      <c r="I92" s="205"/>
      <c r="J92" s="196"/>
      <c r="K92" s="186"/>
      <c r="L92" s="170"/>
      <c r="M92" s="50"/>
      <c r="N92" s="50"/>
      <c r="O92" s="219">
        <f>AA92</f>
        <v>21</v>
      </c>
      <c r="P92" s="120"/>
      <c r="Q92" s="96">
        <f>I92+J92+K92+L92+M92+N92+O92</f>
        <v>21</v>
      </c>
      <c r="R92" s="97">
        <f>IF(C92=2012, Q92/3,Q92)+P92</f>
        <v>21</v>
      </c>
      <c r="S92" s="22"/>
      <c r="T92" s="50"/>
      <c r="U92" s="50"/>
      <c r="V92" s="50">
        <f>0+21</f>
        <v>21</v>
      </c>
      <c r="W92" s="50"/>
      <c r="X92" s="50"/>
      <c r="Y92" s="120"/>
      <c r="Z92" s="96">
        <f>SUM(T92:X92)</f>
        <v>21</v>
      </c>
      <c r="AA92" s="97">
        <f>IF(C92=2011, Z92/3,Z92)+Y92</f>
        <v>21</v>
      </c>
      <c r="AB92" s="22"/>
      <c r="AJ92" s="95"/>
      <c r="AK92" s="96"/>
      <c r="AL92" s="97"/>
    </row>
    <row r="93" spans="1:57" x14ac:dyDescent="0.25">
      <c r="A93" s="60" t="s">
        <v>351</v>
      </c>
      <c r="B93" s="65" t="s">
        <v>0</v>
      </c>
      <c r="C93" s="62">
        <v>2009</v>
      </c>
      <c r="D93" s="1">
        <f>R93+F93+E93</f>
        <v>209</v>
      </c>
      <c r="E93" s="233">
        <f>0</f>
        <v>0</v>
      </c>
      <c r="G93" s="120"/>
      <c r="I93" s="205">
        <f>16</f>
        <v>16</v>
      </c>
      <c r="J93" s="196">
        <f>14</f>
        <v>14</v>
      </c>
      <c r="K93" s="186">
        <f>24</f>
        <v>24</v>
      </c>
      <c r="L93" s="170">
        <f>38</f>
        <v>38</v>
      </c>
      <c r="M93" s="50">
        <f>6</f>
        <v>6</v>
      </c>
      <c r="N93" s="50">
        <f>42+3</f>
        <v>45</v>
      </c>
      <c r="O93" s="219">
        <f>AA93</f>
        <v>63</v>
      </c>
      <c r="P93" s="120">
        <f>3</f>
        <v>3</v>
      </c>
      <c r="Q93" s="96">
        <f>I93+J93+K93+L93+M93+N93+O93</f>
        <v>206</v>
      </c>
      <c r="R93" s="97">
        <f>IF(C93=2012, Q93/3,Q93)+P93</f>
        <v>209</v>
      </c>
      <c r="S93" s="22"/>
      <c r="T93" s="50">
        <f>14</f>
        <v>14</v>
      </c>
      <c r="U93" s="50">
        <f>6</f>
        <v>6</v>
      </c>
      <c r="V93" s="50">
        <f>37</f>
        <v>37</v>
      </c>
      <c r="W93" s="50"/>
      <c r="X93" s="50">
        <f>AL93</f>
        <v>6</v>
      </c>
      <c r="Y93" s="120"/>
      <c r="Z93" s="96">
        <f>SUM(T93:X93)</f>
        <v>63</v>
      </c>
      <c r="AA93" s="97">
        <f>IF(C93=2011, Z93/3,Z93)+Y93</f>
        <v>63</v>
      </c>
      <c r="AB93" s="22"/>
      <c r="AF93" s="13">
        <f>6</f>
        <v>6</v>
      </c>
      <c r="AJ93" s="95"/>
      <c r="AK93" s="96">
        <f>SUM(AC93:AI93)</f>
        <v>6</v>
      </c>
      <c r="AL93" s="97">
        <f>IF(C93=2010, AK93/3,AK93)+AJ93</f>
        <v>6</v>
      </c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</row>
    <row r="94" spans="1:57" x14ac:dyDescent="0.25">
      <c r="A94" s="11" t="s">
        <v>458</v>
      </c>
      <c r="B94" s="11" t="s">
        <v>7</v>
      </c>
      <c r="C94" s="3">
        <v>2012</v>
      </c>
      <c r="D94" s="1">
        <f>R94+F94+E94</f>
        <v>60.333333333333336</v>
      </c>
      <c r="E94" s="233">
        <f>6</f>
        <v>6</v>
      </c>
      <c r="F94" s="219">
        <f>0+6</f>
        <v>6</v>
      </c>
      <c r="G94" s="154"/>
      <c r="I94" s="156">
        <f>33</f>
        <v>33</v>
      </c>
      <c r="J94" s="156">
        <f>0</f>
        <v>0</v>
      </c>
      <c r="M94" s="156">
        <f>50</f>
        <v>50</v>
      </c>
      <c r="O94" s="219">
        <f>AA94</f>
        <v>62</v>
      </c>
      <c r="P94" s="154"/>
      <c r="Q94" s="96">
        <f>I94+J94+K94+L94+M94+N94+O94</f>
        <v>145</v>
      </c>
      <c r="R94" s="97">
        <f>IF(C94=2012, Q94/3,Q94)+P94</f>
        <v>48.333333333333336</v>
      </c>
      <c r="U94" s="50">
        <f>0</f>
        <v>0</v>
      </c>
      <c r="V94" s="50">
        <f>42</f>
        <v>42</v>
      </c>
      <c r="W94" s="50">
        <f>16+3+1</f>
        <v>20</v>
      </c>
      <c r="X94" s="50">
        <f>AL94</f>
        <v>0</v>
      </c>
      <c r="Y94" s="120"/>
      <c r="Z94" s="96">
        <f>SUM(T94:X94)</f>
        <v>62</v>
      </c>
      <c r="AA94" s="97">
        <f>IF(C94=2011, Z94/3,Z94)+Y94</f>
        <v>62</v>
      </c>
      <c r="AB94" s="101"/>
      <c r="AC94" s="153"/>
      <c r="AD94" s="153"/>
      <c r="AE94" s="153"/>
      <c r="AF94" s="153"/>
      <c r="AG94" s="153"/>
      <c r="AH94" s="153"/>
      <c r="AI94" s="153"/>
      <c r="AJ94" s="95"/>
      <c r="AK94" s="96"/>
      <c r="AL94" s="97"/>
    </row>
    <row r="95" spans="1:57" x14ac:dyDescent="0.25">
      <c r="A95" s="11" t="s">
        <v>457</v>
      </c>
      <c r="B95" s="60" t="s">
        <v>7</v>
      </c>
      <c r="C95" s="62">
        <v>2009</v>
      </c>
      <c r="D95" s="1">
        <f>R95+F95+E95</f>
        <v>29</v>
      </c>
      <c r="G95" s="120"/>
      <c r="I95" s="205"/>
      <c r="J95" s="196"/>
      <c r="K95" s="186"/>
      <c r="L95" s="170"/>
      <c r="M95" s="50"/>
      <c r="N95" s="50"/>
      <c r="O95" s="219">
        <f>AA95</f>
        <v>29</v>
      </c>
      <c r="P95" s="120"/>
      <c r="Q95" s="96">
        <f>I95+J95+K95+L95+M95+N95+O95</f>
        <v>29</v>
      </c>
      <c r="R95" s="97">
        <f>IF(C95=2012, Q95/3,Q95)+P95</f>
        <v>29</v>
      </c>
      <c r="S95" s="237"/>
      <c r="T95" s="50"/>
      <c r="U95" s="50">
        <f>8</f>
        <v>8</v>
      </c>
      <c r="V95" s="50">
        <f>0</f>
        <v>0</v>
      </c>
      <c r="W95" s="50">
        <f>0+1</f>
        <v>1</v>
      </c>
      <c r="X95" s="50">
        <f>AL95</f>
        <v>17</v>
      </c>
      <c r="Y95" s="120">
        <f>3</f>
        <v>3</v>
      </c>
      <c r="Z95" s="96">
        <f>SUM(T95:X95)</f>
        <v>26</v>
      </c>
      <c r="AA95" s="97">
        <f>IF(C95=2011, Z95/3,Z95)+Y95</f>
        <v>29</v>
      </c>
      <c r="AB95" s="22"/>
      <c r="AC95" s="41"/>
      <c r="AD95" s="41"/>
      <c r="AE95" s="41"/>
      <c r="AF95" s="41"/>
      <c r="AG95" s="41">
        <f>15</f>
        <v>15</v>
      </c>
      <c r="AH95" s="41">
        <f>0+2</f>
        <v>2</v>
      </c>
      <c r="AJ95" s="95"/>
      <c r="AK95" s="96">
        <f>SUM(AC95:AI95)</f>
        <v>17</v>
      </c>
      <c r="AL95" s="97">
        <f>IF(C95=2015, AK95/3,AK95)+AJ95</f>
        <v>17</v>
      </c>
    </row>
    <row r="96" spans="1:57" x14ac:dyDescent="0.25">
      <c r="A96" s="60" t="s">
        <v>665</v>
      </c>
      <c r="B96" s="65" t="s">
        <v>663</v>
      </c>
      <c r="C96" s="62"/>
      <c r="D96" s="1">
        <f>R96+F96+E96</f>
        <v>90</v>
      </c>
      <c r="E96" s="156"/>
      <c r="F96" s="156"/>
      <c r="G96" s="154"/>
      <c r="H96" s="156"/>
      <c r="I96" s="205"/>
      <c r="J96" s="196"/>
      <c r="K96" s="186"/>
      <c r="L96" s="170"/>
      <c r="M96" s="50"/>
      <c r="N96" s="50"/>
      <c r="O96" s="219">
        <f>AA96</f>
        <v>90</v>
      </c>
      <c r="P96" s="120"/>
      <c r="Q96" s="96">
        <f>I96+J96+K96+L96+M96+N96+O96</f>
        <v>90</v>
      </c>
      <c r="R96" s="97">
        <f>IF(C96=2012, Q96/3,Q96)+P96</f>
        <v>90</v>
      </c>
      <c r="S96" s="22"/>
      <c r="T96" s="219"/>
      <c r="U96" s="50"/>
      <c r="V96" s="50">
        <f>90</f>
        <v>90</v>
      </c>
      <c r="W96" s="50"/>
      <c r="X96" s="50"/>
      <c r="Y96" s="120"/>
      <c r="Z96" s="96">
        <f>SUM(T96:X96)</f>
        <v>90</v>
      </c>
      <c r="AA96" s="97">
        <f>IF(C96=2011, Z96/3,Z96)+Y96</f>
        <v>90</v>
      </c>
      <c r="AB96" s="22"/>
      <c r="AJ96" s="95"/>
      <c r="AK96" s="96"/>
      <c r="AL96" s="97"/>
    </row>
    <row r="97" spans="1:57" x14ac:dyDescent="0.25">
      <c r="A97" s="11" t="s">
        <v>398</v>
      </c>
      <c r="B97" s="60" t="s">
        <v>111</v>
      </c>
      <c r="C97" s="62">
        <v>2010</v>
      </c>
      <c r="D97" s="1">
        <f>R97+F97+E97</f>
        <v>163</v>
      </c>
      <c r="E97" s="237"/>
      <c r="F97" s="237"/>
      <c r="G97" s="120"/>
      <c r="H97" s="237"/>
      <c r="I97" s="205"/>
      <c r="J97" s="196"/>
      <c r="K97" s="186">
        <f>10+2</f>
        <v>12</v>
      </c>
      <c r="L97" s="170">
        <f>24+9</f>
        <v>33</v>
      </c>
      <c r="M97" s="50">
        <f>36+2</f>
        <v>38</v>
      </c>
      <c r="N97" s="50">
        <f>0+2</f>
        <v>2</v>
      </c>
      <c r="O97" s="219">
        <f>AA97</f>
        <v>78</v>
      </c>
      <c r="P97" s="120"/>
      <c r="Q97" s="96">
        <f>I97+J97+K97+L97+M97+N97+O97</f>
        <v>163</v>
      </c>
      <c r="R97" s="97">
        <f>IF(C97=2012, Q97/3,Q97)+P97</f>
        <v>163</v>
      </c>
      <c r="S97" s="22"/>
      <c r="T97" s="50">
        <f>14+12</f>
        <v>26</v>
      </c>
      <c r="U97" s="50">
        <f>11</f>
        <v>11</v>
      </c>
      <c r="V97" s="50">
        <f>22</f>
        <v>22</v>
      </c>
      <c r="W97" s="50"/>
      <c r="X97" s="50">
        <f>AL97</f>
        <v>19</v>
      </c>
      <c r="Y97" s="120"/>
      <c r="Z97" s="96">
        <f>SUM(T97:X97)</f>
        <v>78</v>
      </c>
      <c r="AA97" s="97">
        <f>IF(C97=2011, Z97/3,Z97)+Y97</f>
        <v>78</v>
      </c>
      <c r="AB97" s="22"/>
      <c r="AC97" s="41"/>
      <c r="AD97" s="41"/>
      <c r="AE97" s="41"/>
      <c r="AF97" s="41"/>
      <c r="AG97" s="41">
        <f>29</f>
        <v>29</v>
      </c>
      <c r="AH97" s="41">
        <f>28</f>
        <v>28</v>
      </c>
      <c r="AJ97" s="95"/>
      <c r="AK97" s="96">
        <f>SUM(AC97:AI97)</f>
        <v>57</v>
      </c>
      <c r="AL97" s="97">
        <f>IF(C97=2010, AK97/3,AK97)+AJ97</f>
        <v>19</v>
      </c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</row>
    <row r="98" spans="1:57" x14ac:dyDescent="0.25">
      <c r="A98" s="60" t="s">
        <v>795</v>
      </c>
      <c r="B98" s="60" t="s">
        <v>702</v>
      </c>
      <c r="C98" s="62">
        <v>2009</v>
      </c>
      <c r="D98" s="1">
        <f>R98+F98+E98</f>
        <v>9</v>
      </c>
      <c r="G98" s="120"/>
      <c r="I98" s="205"/>
      <c r="J98" s="196"/>
      <c r="K98" s="186"/>
      <c r="L98" s="170"/>
      <c r="M98" s="50">
        <f>0+3</f>
        <v>3</v>
      </c>
      <c r="N98" s="50">
        <f>0</f>
        <v>0</v>
      </c>
      <c r="O98" s="219">
        <f>AA98</f>
        <v>0</v>
      </c>
      <c r="P98" s="120">
        <f>6</f>
        <v>6</v>
      </c>
      <c r="Q98" s="96">
        <f>I98+J98+K98+L98+M98+N98+O98</f>
        <v>3</v>
      </c>
      <c r="R98" s="97">
        <f>IF(C98=2012, Q98/3,Q98)+P98</f>
        <v>9</v>
      </c>
      <c r="S98" s="22"/>
      <c r="T98" s="50"/>
      <c r="U98" s="50"/>
      <c r="V98" s="50"/>
      <c r="W98" s="50"/>
      <c r="X98" s="50"/>
      <c r="Y98" s="120"/>
      <c r="Z98" s="96">
        <f>SUM(T98:X98)</f>
        <v>0</v>
      </c>
      <c r="AA98" s="97"/>
      <c r="AB98" s="22"/>
      <c r="AJ98" s="95"/>
      <c r="AK98" s="96"/>
      <c r="AL98" s="97"/>
    </row>
    <row r="99" spans="1:57" x14ac:dyDescent="0.25">
      <c r="A99" s="11" t="s">
        <v>701</v>
      </c>
      <c r="B99" s="60" t="s">
        <v>702</v>
      </c>
      <c r="C99" s="62"/>
      <c r="D99" s="1">
        <f>R99+F99+E99</f>
        <v>40</v>
      </c>
      <c r="G99" s="120"/>
      <c r="I99" s="205"/>
      <c r="J99" s="196"/>
      <c r="K99" s="186"/>
      <c r="L99" s="170">
        <f>3+3</f>
        <v>6</v>
      </c>
      <c r="M99" s="50"/>
      <c r="N99" s="50">
        <f>23</f>
        <v>23</v>
      </c>
      <c r="O99" s="219">
        <f>AA99</f>
        <v>11</v>
      </c>
      <c r="P99" s="120"/>
      <c r="Q99" s="96">
        <f>I99+J99+K99+L99+M99+N99+O99</f>
        <v>40</v>
      </c>
      <c r="R99" s="97">
        <f>IF(C99=2012, Q99/3,Q99)+P99</f>
        <v>40</v>
      </c>
      <c r="S99" s="22"/>
      <c r="T99" s="50"/>
      <c r="U99" s="50">
        <f>11</f>
        <v>11</v>
      </c>
      <c r="V99" s="50"/>
      <c r="W99" s="50"/>
      <c r="X99" s="50"/>
      <c r="Y99" s="120"/>
      <c r="Z99" s="96">
        <f>SUM(T99:X99)</f>
        <v>11</v>
      </c>
      <c r="AA99" s="97">
        <f>IF(C99=2011, Z99/3,Z99)+Y99</f>
        <v>11</v>
      </c>
      <c r="AB99" s="22"/>
      <c r="AC99" s="41"/>
      <c r="AD99" s="41"/>
      <c r="AE99" s="41"/>
      <c r="AF99" s="41"/>
      <c r="AG99" s="41"/>
      <c r="AH99" s="41"/>
      <c r="AJ99" s="95"/>
      <c r="AK99" s="96"/>
      <c r="AL99" s="97"/>
    </row>
    <row r="100" spans="1:57" x14ac:dyDescent="0.25">
      <c r="A100" s="11" t="s">
        <v>662</v>
      </c>
      <c r="B100" s="60" t="s">
        <v>663</v>
      </c>
      <c r="C100" s="62"/>
      <c r="D100" s="1">
        <f>R100+F100+E100</f>
        <v>141</v>
      </c>
      <c r="G100" s="154"/>
      <c r="I100" s="205"/>
      <c r="J100" s="196"/>
      <c r="K100" s="186"/>
      <c r="L100" s="170"/>
      <c r="M100" s="50"/>
      <c r="N100" s="50"/>
      <c r="O100" s="219">
        <f>AA100</f>
        <v>141</v>
      </c>
      <c r="P100" s="120"/>
      <c r="Q100" s="96">
        <f>I100+J100+K100+L100+M100+N100+O100</f>
        <v>141</v>
      </c>
      <c r="R100" s="97">
        <f>IF(C100=2012, Q100/3,Q100)+P100</f>
        <v>141</v>
      </c>
      <c r="S100" s="22"/>
      <c r="T100" s="237"/>
      <c r="U100" s="50"/>
      <c r="V100" s="50">
        <f>141</f>
        <v>141</v>
      </c>
      <c r="W100" s="50"/>
      <c r="X100" s="50"/>
      <c r="Y100" s="120"/>
      <c r="Z100" s="96">
        <f>SUM(T100:X100)</f>
        <v>141</v>
      </c>
      <c r="AA100" s="97">
        <f>IF(C100=2011, Z100/3,Z100)+Y100</f>
        <v>141</v>
      </c>
      <c r="AB100" s="22"/>
      <c r="AC100" s="41"/>
      <c r="AD100" s="41"/>
      <c r="AE100" s="41"/>
      <c r="AF100" s="41"/>
      <c r="AG100" s="41"/>
      <c r="AH100" s="41"/>
      <c r="AJ100" s="95"/>
      <c r="AK100" s="96"/>
      <c r="AL100" s="97"/>
    </row>
    <row r="101" spans="1:57" x14ac:dyDescent="0.25">
      <c r="A101" s="60" t="s">
        <v>654</v>
      </c>
      <c r="B101" s="65" t="s">
        <v>7</v>
      </c>
      <c r="C101" s="62">
        <v>2009</v>
      </c>
      <c r="D101" s="1">
        <f>R101+F101+E101</f>
        <v>40</v>
      </c>
      <c r="G101" s="154"/>
      <c r="I101" s="205"/>
      <c r="J101" s="196"/>
      <c r="K101" s="186"/>
      <c r="L101" s="170"/>
      <c r="M101" s="50"/>
      <c r="N101" s="50"/>
      <c r="O101" s="219">
        <f>AA101</f>
        <v>40</v>
      </c>
      <c r="P101" s="120"/>
      <c r="Q101" s="96">
        <f>I101+J101+K101+L101+M101+N101+O101</f>
        <v>40</v>
      </c>
      <c r="R101" s="97">
        <f>IF(C101=2012, Q101/3,Q101)+P101</f>
        <v>40</v>
      </c>
      <c r="S101" s="22"/>
      <c r="T101" s="50"/>
      <c r="U101" s="50"/>
      <c r="V101" s="50"/>
      <c r="W101" s="50"/>
      <c r="X101" s="50">
        <f>40</f>
        <v>40</v>
      </c>
      <c r="Y101" s="120"/>
      <c r="Z101" s="96">
        <f>SUM(T101:X101)</f>
        <v>40</v>
      </c>
      <c r="AA101" s="97">
        <f>IF(C101=2011, Z101/3,Z101)+Y101</f>
        <v>40</v>
      </c>
      <c r="AB101" s="22"/>
      <c r="AJ101" s="95"/>
      <c r="AK101" s="96"/>
      <c r="AL101" s="97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</row>
    <row r="102" spans="1:57" s="52" customFormat="1" x14ac:dyDescent="0.25">
      <c r="A102" s="11" t="s">
        <v>792</v>
      </c>
      <c r="B102" s="60" t="s">
        <v>297</v>
      </c>
      <c r="C102" s="62">
        <v>2011</v>
      </c>
      <c r="D102" s="1">
        <f>R102+F102+E102</f>
        <v>0</v>
      </c>
      <c r="E102" s="237"/>
      <c r="F102" s="237"/>
      <c r="G102" s="154"/>
      <c r="H102" s="237"/>
      <c r="I102" s="205"/>
      <c r="J102" s="196"/>
      <c r="K102" s="186"/>
      <c r="L102" s="170"/>
      <c r="M102" s="50"/>
      <c r="N102" s="50">
        <f>0</f>
        <v>0</v>
      </c>
      <c r="O102" s="219">
        <f>AA102</f>
        <v>0</v>
      </c>
      <c r="P102" s="120"/>
      <c r="Q102" s="96">
        <f>I102+J102+K102+L102+M102+N102+O102</f>
        <v>0</v>
      </c>
      <c r="R102" s="97">
        <f>IF(C102=2012, Q102/3,Q102)+P102</f>
        <v>0</v>
      </c>
      <c r="S102" s="22"/>
      <c r="T102" s="219"/>
      <c r="U102" s="50"/>
      <c r="V102" s="50"/>
      <c r="W102" s="50"/>
      <c r="X102" s="50"/>
      <c r="Y102" s="120"/>
      <c r="Z102" s="96">
        <f>SUM(T102:X102)</f>
        <v>0</v>
      </c>
      <c r="AA102" s="97"/>
      <c r="AB102" s="22"/>
      <c r="AC102" s="41"/>
      <c r="AD102" s="41"/>
      <c r="AE102" s="41"/>
      <c r="AF102" s="41"/>
      <c r="AG102" s="41"/>
      <c r="AH102" s="41"/>
      <c r="AI102" s="13"/>
      <c r="AJ102" s="95"/>
      <c r="AK102" s="96"/>
      <c r="AL102" s="97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</row>
    <row r="103" spans="1:57" x14ac:dyDescent="0.25">
      <c r="A103" s="11" t="s">
        <v>670</v>
      </c>
      <c r="B103" s="60" t="s">
        <v>663</v>
      </c>
      <c r="C103" s="62"/>
      <c r="D103" s="1">
        <f>R103+F103+E103</f>
        <v>39</v>
      </c>
      <c r="E103" s="108"/>
      <c r="F103" s="108"/>
      <c r="G103" s="122"/>
      <c r="H103" s="108"/>
      <c r="I103" s="205"/>
      <c r="J103" s="196"/>
      <c r="K103" s="186"/>
      <c r="L103" s="170"/>
      <c r="M103" s="50"/>
      <c r="N103" s="50"/>
      <c r="O103" s="219">
        <f>AA103</f>
        <v>39</v>
      </c>
      <c r="P103" s="120"/>
      <c r="Q103" s="96">
        <f>I103+J103+K103+L103+M103+N103+O103</f>
        <v>39</v>
      </c>
      <c r="R103" s="97">
        <f>IF(C103=2012, Q103/3,Q103)+P103</f>
        <v>39</v>
      </c>
      <c r="S103" s="22"/>
      <c r="T103" s="219"/>
      <c r="U103" s="50"/>
      <c r="V103" s="50">
        <f>39</f>
        <v>39</v>
      </c>
      <c r="W103" s="50"/>
      <c r="X103" s="50"/>
      <c r="Y103" s="120"/>
      <c r="Z103" s="96">
        <f>SUM(T103:X103)</f>
        <v>39</v>
      </c>
      <c r="AA103" s="97">
        <f>IF(C103=2011, Z103/3,Z103)+Y103</f>
        <v>39</v>
      </c>
      <c r="AB103" s="22"/>
      <c r="AC103" s="41"/>
      <c r="AD103" s="41"/>
      <c r="AE103" s="41"/>
      <c r="AF103" s="41"/>
      <c r="AG103" s="41"/>
      <c r="AH103" s="41"/>
      <c r="AJ103" s="95"/>
      <c r="AK103" s="96"/>
      <c r="AL103" s="97"/>
    </row>
    <row r="104" spans="1:57" x14ac:dyDescent="0.25">
      <c r="A104" s="60" t="s">
        <v>514</v>
      </c>
      <c r="B104" s="65" t="s">
        <v>7</v>
      </c>
      <c r="C104" s="62">
        <v>2009</v>
      </c>
      <c r="D104" s="1">
        <f>R104+F104+E104</f>
        <v>39</v>
      </c>
      <c r="E104" s="156"/>
      <c r="F104" s="156"/>
      <c r="G104" s="122"/>
      <c r="H104" s="156"/>
      <c r="I104" s="205"/>
      <c r="J104" s="196"/>
      <c r="K104" s="186"/>
      <c r="L104" s="170"/>
      <c r="M104" s="50"/>
      <c r="N104" s="50"/>
      <c r="O104" s="219">
        <f>AA104</f>
        <v>39</v>
      </c>
      <c r="P104" s="120"/>
      <c r="Q104" s="96">
        <f>I104+J104+K104+L104+M104+N104+O104</f>
        <v>39</v>
      </c>
      <c r="R104" s="97">
        <f>IF(C104=2012, Q104/3,Q104)+P104</f>
        <v>39</v>
      </c>
      <c r="S104" s="22"/>
      <c r="T104" s="50"/>
      <c r="U104" s="50"/>
      <c r="V104" s="50"/>
      <c r="W104" s="50"/>
      <c r="X104" s="50">
        <f>AL104</f>
        <v>39</v>
      </c>
      <c r="Y104" s="120"/>
      <c r="Z104" s="96">
        <f>SUM(T104:X104)</f>
        <v>39</v>
      </c>
      <c r="AA104" s="97">
        <f>IF(C104=2011, Z104/3,Z104)+Y104</f>
        <v>39</v>
      </c>
      <c r="AB104" s="22"/>
      <c r="AH104" s="13">
        <f>39</f>
        <v>39</v>
      </c>
      <c r="AJ104" s="95"/>
      <c r="AK104" s="96">
        <f>SUM(AC104:AI104)</f>
        <v>39</v>
      </c>
      <c r="AL104" s="97">
        <f>IF(C104=2010, AK104/3,AK104)+AJ104</f>
        <v>39</v>
      </c>
    </row>
    <row r="105" spans="1:57" s="52" customFormat="1" x14ac:dyDescent="0.25">
      <c r="A105" s="71" t="s">
        <v>249</v>
      </c>
      <c r="B105" s="71" t="s">
        <v>232</v>
      </c>
      <c r="C105" s="72">
        <v>2010</v>
      </c>
      <c r="D105" s="1">
        <f>R105+F105+E105</f>
        <v>19.666666666666668</v>
      </c>
      <c r="E105" s="233"/>
      <c r="F105" s="219"/>
      <c r="G105" s="120"/>
      <c r="H105" s="219"/>
      <c r="I105" s="205"/>
      <c r="J105" s="196"/>
      <c r="K105" s="186"/>
      <c r="L105" s="170"/>
      <c r="M105" s="50"/>
      <c r="N105" s="50">
        <f>0</f>
        <v>0</v>
      </c>
      <c r="O105" s="219">
        <f>AA105</f>
        <v>19.666666666666668</v>
      </c>
      <c r="P105" s="120"/>
      <c r="Q105" s="96">
        <f>I105+J105+K105+L105+M105+N105+O105</f>
        <v>19.666666666666668</v>
      </c>
      <c r="R105" s="97">
        <f>IF(C105=2012, Q105/3,Q105)+P105</f>
        <v>19.666666666666668</v>
      </c>
      <c r="S105" s="22"/>
      <c r="T105" s="50"/>
      <c r="U105" s="50"/>
      <c r="V105" s="50"/>
      <c r="W105" s="50"/>
      <c r="X105" s="50">
        <f>AL105</f>
        <v>19.666666666666668</v>
      </c>
      <c r="Y105" s="120"/>
      <c r="Z105" s="96">
        <f>SUM(T105:X105)</f>
        <v>19.666666666666668</v>
      </c>
      <c r="AA105" s="97">
        <f>IF(C105=2011, Z105/3,Z105)+Y105</f>
        <v>19.666666666666668</v>
      </c>
      <c r="AB105" s="22"/>
      <c r="AC105" s="237"/>
      <c r="AD105" s="237"/>
      <c r="AE105" s="237">
        <f>18</f>
        <v>18</v>
      </c>
      <c r="AF105" s="237"/>
      <c r="AG105" s="237"/>
      <c r="AH105" s="237"/>
      <c r="AI105" s="240">
        <f>41</f>
        <v>41</v>
      </c>
      <c r="AJ105" s="95"/>
      <c r="AK105" s="96">
        <f>SUM(AC105:AI105)</f>
        <v>59</v>
      </c>
      <c r="AL105" s="97">
        <f>IF(C105=2010, AK105/3,AK105)+AJ105</f>
        <v>19.666666666666668</v>
      </c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</row>
    <row r="106" spans="1:57" x14ac:dyDescent="0.25">
      <c r="A106" s="71" t="s">
        <v>552</v>
      </c>
      <c r="B106" s="66" t="s">
        <v>64</v>
      </c>
      <c r="C106" s="72">
        <v>2011</v>
      </c>
      <c r="D106" s="1">
        <f>R106+F106+E106</f>
        <v>64.666666666666671</v>
      </c>
      <c r="G106" s="154"/>
      <c r="I106" s="205"/>
      <c r="J106" s="196"/>
      <c r="K106" s="186"/>
      <c r="L106" s="170"/>
      <c r="M106" s="50">
        <f>0+3+18</f>
        <v>21</v>
      </c>
      <c r="N106" s="50">
        <f>0+9+6</f>
        <v>15</v>
      </c>
      <c r="O106" s="219">
        <f>AA106</f>
        <v>28.666666666666668</v>
      </c>
      <c r="P106" s="120"/>
      <c r="Q106" s="96">
        <f>I106+J106+K106+L106+M106+N106+O106</f>
        <v>64.666666666666671</v>
      </c>
      <c r="R106" s="97">
        <f>IF(C106=2012, Q106/3,Q106)+P106</f>
        <v>64.666666666666671</v>
      </c>
      <c r="S106" s="237"/>
      <c r="T106" s="237"/>
      <c r="U106" s="50"/>
      <c r="V106" s="50">
        <f>50</f>
        <v>50</v>
      </c>
      <c r="W106" s="50">
        <f>36</f>
        <v>36</v>
      </c>
      <c r="X106" s="50"/>
      <c r="Y106" s="120"/>
      <c r="Z106" s="96">
        <f>SUM(T106:X106)</f>
        <v>86</v>
      </c>
      <c r="AA106" s="97">
        <f>IF(C106=2011, Z106/3,Z106)+Y106</f>
        <v>28.666666666666668</v>
      </c>
      <c r="AB106" s="101"/>
      <c r="AC106" s="41"/>
      <c r="AD106" s="41"/>
      <c r="AE106" s="41"/>
      <c r="AF106" s="41"/>
      <c r="AG106" s="41"/>
      <c r="AH106" s="41"/>
      <c r="AJ106" s="95"/>
      <c r="AK106" s="96"/>
      <c r="AL106" s="97"/>
    </row>
    <row r="107" spans="1:57" x14ac:dyDescent="0.25">
      <c r="A107" s="71" t="s">
        <v>251</v>
      </c>
      <c r="B107" s="71" t="s">
        <v>232</v>
      </c>
      <c r="C107" s="72">
        <v>2012</v>
      </c>
      <c r="D107" s="1">
        <f>R107+F107+E107</f>
        <v>0</v>
      </c>
      <c r="G107" s="154"/>
      <c r="I107" s="205"/>
      <c r="J107" s="196"/>
      <c r="K107" s="186"/>
      <c r="L107" s="170"/>
      <c r="M107" s="50"/>
      <c r="N107" s="50"/>
      <c r="O107" s="219">
        <f>AA107</f>
        <v>0</v>
      </c>
      <c r="P107" s="120"/>
      <c r="Q107" s="96">
        <f>I107+J107+K107+L107+M107+N107+O107</f>
        <v>0</v>
      </c>
      <c r="R107" s="97">
        <f>IF(C107=2012, Q107/3,Q107)+P107</f>
        <v>0</v>
      </c>
      <c r="S107" s="209"/>
      <c r="T107" s="209"/>
      <c r="U107" s="50">
        <f>0</f>
        <v>0</v>
      </c>
      <c r="V107" s="50"/>
      <c r="W107" s="50"/>
      <c r="X107" s="50">
        <f>AL107</f>
        <v>0</v>
      </c>
      <c r="Y107" s="120"/>
      <c r="Z107" s="96">
        <f>SUM(T107:X107)</f>
        <v>0</v>
      </c>
      <c r="AA107" s="97">
        <f>IF(C107=2011, Z107/3,Z107)+Y107</f>
        <v>0</v>
      </c>
      <c r="AB107" s="22"/>
      <c r="AC107" s="219"/>
      <c r="AD107" s="219"/>
      <c r="AE107" s="219">
        <f>0</f>
        <v>0</v>
      </c>
      <c r="AF107" s="219"/>
      <c r="AG107" s="219"/>
      <c r="AH107" s="219"/>
      <c r="AI107" s="36"/>
      <c r="AJ107" s="95"/>
      <c r="AK107" s="96">
        <f>SUM(AC107:AI107)</f>
        <v>0</v>
      </c>
      <c r="AL107" s="97">
        <f>IF(C107=2015, AK107/3,AK107)+AJ107</f>
        <v>0</v>
      </c>
    </row>
    <row r="108" spans="1:57" x14ac:dyDescent="0.25">
      <c r="A108" s="71" t="s">
        <v>326</v>
      </c>
      <c r="B108" s="71" t="s">
        <v>232</v>
      </c>
      <c r="C108" s="72">
        <v>2011</v>
      </c>
      <c r="D108" s="1">
        <f>R108+F108+E108</f>
        <v>51.333333333333336</v>
      </c>
      <c r="G108" s="120"/>
      <c r="I108" s="205"/>
      <c r="J108" s="196"/>
      <c r="K108" s="186"/>
      <c r="L108" s="170"/>
      <c r="M108" s="50"/>
      <c r="N108" s="50"/>
      <c r="O108" s="219">
        <f>AA108</f>
        <v>51.333333333333336</v>
      </c>
      <c r="P108" s="120"/>
      <c r="Q108" s="96">
        <f>I108+J108+K108+L108+M108+N108+O108</f>
        <v>51.333333333333336</v>
      </c>
      <c r="R108" s="97">
        <f>IF(C108=2012, Q108/3,Q108)+P108</f>
        <v>51.333333333333336</v>
      </c>
      <c r="S108" s="237"/>
      <c r="T108" s="50"/>
      <c r="U108" s="50"/>
      <c r="V108" s="50"/>
      <c r="W108" s="50"/>
      <c r="X108" s="50">
        <f>AL108</f>
        <v>154</v>
      </c>
      <c r="Y108" s="120"/>
      <c r="Z108" s="96">
        <f>SUM(T108:X108)</f>
        <v>154</v>
      </c>
      <c r="AA108" s="97">
        <f>IF(C108=2011, Z108/3,Z108)+Y108</f>
        <v>51.333333333333336</v>
      </c>
      <c r="AB108" s="22"/>
      <c r="AC108" s="237"/>
      <c r="AD108" s="237"/>
      <c r="AE108" s="237"/>
      <c r="AF108" s="237">
        <f>75</f>
        <v>75</v>
      </c>
      <c r="AG108" s="237"/>
      <c r="AH108" s="237">
        <f>51</f>
        <v>51</v>
      </c>
      <c r="AI108" s="240">
        <f>28</f>
        <v>28</v>
      </c>
      <c r="AJ108" s="95"/>
      <c r="AK108" s="96">
        <f>SUM(AC108:AI108)</f>
        <v>154</v>
      </c>
      <c r="AL108" s="97">
        <f>IF(C108=2015, AK108/3,AK108)+AJ108</f>
        <v>154</v>
      </c>
    </row>
    <row r="109" spans="1:57" x14ac:dyDescent="0.25">
      <c r="A109" s="60" t="s">
        <v>381</v>
      </c>
      <c r="B109" s="65" t="s">
        <v>380</v>
      </c>
      <c r="C109" s="62">
        <v>2009</v>
      </c>
      <c r="D109" s="1">
        <f>R109+F109+E109</f>
        <v>2</v>
      </c>
      <c r="E109" s="156"/>
      <c r="F109" s="156"/>
      <c r="G109" s="122"/>
      <c r="H109" s="156"/>
      <c r="I109" s="205"/>
      <c r="J109" s="196"/>
      <c r="K109" s="186"/>
      <c r="L109" s="170"/>
      <c r="M109" s="50"/>
      <c r="N109" s="50"/>
      <c r="O109" s="219">
        <f>AA109</f>
        <v>2</v>
      </c>
      <c r="P109" s="120"/>
      <c r="Q109" s="96">
        <f>I109+J109+K109+L109+M109+N109+O109</f>
        <v>2</v>
      </c>
      <c r="R109" s="97">
        <f>IF(C109=2012, Q109/3,Q109)+P109</f>
        <v>2</v>
      </c>
      <c r="S109" s="22"/>
      <c r="T109" s="205"/>
      <c r="U109" s="50"/>
      <c r="V109" s="50"/>
      <c r="W109" s="50"/>
      <c r="X109" s="50">
        <f>AL109</f>
        <v>2</v>
      </c>
      <c r="Y109" s="120"/>
      <c r="Z109" s="96">
        <f>SUM(T109:X109)</f>
        <v>2</v>
      </c>
      <c r="AA109" s="97">
        <f>IF(C109=2011, Z109/3,Z109)+Y109</f>
        <v>2</v>
      </c>
      <c r="AB109" s="22"/>
      <c r="AF109" s="13">
        <f>2</f>
        <v>2</v>
      </c>
      <c r="AJ109" s="95"/>
      <c r="AK109" s="96">
        <f>SUM(AC109:AI109)</f>
        <v>2</v>
      </c>
      <c r="AL109" s="97">
        <f>IF(C109=2010, AK109/3,AK109)+AJ109</f>
        <v>2</v>
      </c>
      <c r="AM109" s="74"/>
    </row>
    <row r="110" spans="1:57" x14ac:dyDescent="0.25">
      <c r="A110" s="60" t="s">
        <v>577</v>
      </c>
      <c r="B110" s="65" t="s">
        <v>64</v>
      </c>
      <c r="C110" s="62">
        <v>2009</v>
      </c>
      <c r="D110" s="1">
        <f>R110+F110+E110</f>
        <v>27</v>
      </c>
      <c r="E110" s="156"/>
      <c r="F110" s="156"/>
      <c r="G110" s="122"/>
      <c r="H110" s="156"/>
      <c r="I110" s="205"/>
      <c r="J110" s="196"/>
      <c r="K110" s="186"/>
      <c r="L110" s="170">
        <f>0+3+3</f>
        <v>6</v>
      </c>
      <c r="M110" s="50"/>
      <c r="N110" s="50">
        <f>21</f>
        <v>21</v>
      </c>
      <c r="O110" s="219">
        <f>AA110</f>
        <v>0</v>
      </c>
      <c r="P110" s="120"/>
      <c r="Q110" s="96">
        <f>I110+J110+K110+L110+M110+N110+O110</f>
        <v>27</v>
      </c>
      <c r="R110" s="97">
        <f>IF(C110=2012, Q110/3,Q110)+P110</f>
        <v>27</v>
      </c>
      <c r="S110" s="22"/>
      <c r="T110" s="50"/>
      <c r="U110" s="50"/>
      <c r="V110" s="50"/>
      <c r="W110" s="50">
        <f>0</f>
        <v>0</v>
      </c>
      <c r="X110" s="50"/>
      <c r="Y110" s="120"/>
      <c r="Z110" s="96">
        <f>SUM(T110:X110)</f>
        <v>0</v>
      </c>
      <c r="AA110" s="97">
        <f>IF(C110=2011, Z110/3,Z110)+Y110</f>
        <v>0</v>
      </c>
      <c r="AB110" s="22"/>
      <c r="AJ110" s="95"/>
      <c r="AK110" s="96"/>
      <c r="AL110" s="97"/>
      <c r="AM110" s="74"/>
    </row>
    <row r="111" spans="1:57" x14ac:dyDescent="0.25">
      <c r="A111" s="11" t="s">
        <v>786</v>
      </c>
      <c r="B111" s="60" t="s">
        <v>297</v>
      </c>
      <c r="C111" s="62">
        <v>2010</v>
      </c>
      <c r="D111" s="1">
        <f>R111+F111+E111</f>
        <v>16</v>
      </c>
      <c r="G111" s="154"/>
      <c r="I111" s="205"/>
      <c r="J111" s="196"/>
      <c r="K111" s="186"/>
      <c r="L111" s="170"/>
      <c r="M111" s="50"/>
      <c r="N111" s="50">
        <f>16</f>
        <v>16</v>
      </c>
      <c r="O111" s="219">
        <f>AA111</f>
        <v>0</v>
      </c>
      <c r="P111" s="120"/>
      <c r="Q111" s="96">
        <f>I111+J111+K111+L111+M111+N111+O111</f>
        <v>16</v>
      </c>
      <c r="R111" s="97">
        <f>IF(C111=2012, Q111/3,Q111)+P111</f>
        <v>16</v>
      </c>
      <c r="S111" s="22"/>
      <c r="T111" s="237"/>
      <c r="U111" s="50"/>
      <c r="V111" s="50"/>
      <c r="W111" s="50"/>
      <c r="X111" s="50"/>
      <c r="Y111" s="120"/>
      <c r="Z111" s="96">
        <f>SUM(T111:X111)</f>
        <v>0</v>
      </c>
      <c r="AA111" s="97"/>
      <c r="AB111" s="22"/>
      <c r="AC111" s="41"/>
      <c r="AD111" s="41"/>
      <c r="AE111" s="41"/>
      <c r="AF111" s="41"/>
      <c r="AG111" s="41"/>
      <c r="AH111" s="41"/>
      <c r="AJ111" s="95"/>
      <c r="AK111" s="96"/>
      <c r="AL111" s="97"/>
    </row>
    <row r="112" spans="1:57" x14ac:dyDescent="0.25">
      <c r="A112" s="60" t="s">
        <v>178</v>
      </c>
      <c r="B112" s="65" t="s">
        <v>86</v>
      </c>
      <c r="C112" s="62">
        <v>2009</v>
      </c>
      <c r="D112" s="1">
        <f>R112+F112+E112</f>
        <v>59</v>
      </c>
      <c r="G112" s="120"/>
      <c r="I112" s="205"/>
      <c r="J112" s="196"/>
      <c r="K112" s="186"/>
      <c r="L112" s="170"/>
      <c r="M112" s="50"/>
      <c r="N112" s="50"/>
      <c r="O112" s="219">
        <f>AA112</f>
        <v>59</v>
      </c>
      <c r="P112" s="120"/>
      <c r="Q112" s="96">
        <f>I112+J112+K112+L112+M112+N112+O112</f>
        <v>59</v>
      </c>
      <c r="R112" s="97">
        <f>IF(C112=2012, Q112/3,Q112)+P112</f>
        <v>59</v>
      </c>
      <c r="S112" s="22"/>
      <c r="T112" s="50"/>
      <c r="U112" s="50"/>
      <c r="V112" s="50"/>
      <c r="W112" s="50"/>
      <c r="X112" s="50">
        <f>AL112</f>
        <v>59</v>
      </c>
      <c r="Y112" s="120"/>
      <c r="Z112" s="96">
        <f>SUM(T112:X112)</f>
        <v>59</v>
      </c>
      <c r="AA112" s="97">
        <f>IF(C112=2011, Z112/3,Z112)+Y112</f>
        <v>59</v>
      </c>
      <c r="AB112" s="22"/>
      <c r="AD112" s="13">
        <v>15</v>
      </c>
      <c r="AH112" s="13">
        <f>27</f>
        <v>27</v>
      </c>
      <c r="AI112" s="13">
        <f>14</f>
        <v>14</v>
      </c>
      <c r="AJ112" s="95">
        <f>3</f>
        <v>3</v>
      </c>
      <c r="AK112" s="96">
        <f>SUM(AC112:AI112)</f>
        <v>56</v>
      </c>
      <c r="AL112" s="97">
        <f>IF(C112=2010, AK112/3,AK112)+AJ112</f>
        <v>59</v>
      </c>
    </row>
    <row r="113" spans="1:57" s="17" customFormat="1" x14ac:dyDescent="0.25">
      <c r="A113" s="71" t="s">
        <v>419</v>
      </c>
      <c r="B113" s="71" t="s">
        <v>63</v>
      </c>
      <c r="C113" s="72">
        <v>2012</v>
      </c>
      <c r="D113" s="1">
        <f>R113+F113+E113</f>
        <v>44.666666666666664</v>
      </c>
      <c r="E113" s="237"/>
      <c r="F113" s="237"/>
      <c r="G113" s="120"/>
      <c r="H113" s="237"/>
      <c r="I113" s="205">
        <f>20</f>
        <v>20</v>
      </c>
      <c r="J113" s="196">
        <f>0</f>
        <v>0</v>
      </c>
      <c r="K113" s="186">
        <f>0+4</f>
        <v>4</v>
      </c>
      <c r="L113" s="170">
        <f>0+3</f>
        <v>3</v>
      </c>
      <c r="M113" s="50">
        <f>22+3+6</f>
        <v>31</v>
      </c>
      <c r="N113" s="50">
        <f>28</f>
        <v>28</v>
      </c>
      <c r="O113" s="219">
        <f>AA113</f>
        <v>48</v>
      </c>
      <c r="P113" s="120"/>
      <c r="Q113" s="96">
        <f>I113+J113+K113+L113+M113+N113+O113</f>
        <v>134</v>
      </c>
      <c r="R113" s="97">
        <f>IF(C113=2012, Q113/3,Q113)+P113</f>
        <v>44.666666666666664</v>
      </c>
      <c r="S113" s="238"/>
      <c r="T113" s="238"/>
      <c r="U113" s="50">
        <f>22</f>
        <v>22</v>
      </c>
      <c r="V113" s="50"/>
      <c r="W113" s="50">
        <f>26</f>
        <v>26</v>
      </c>
      <c r="X113" s="50">
        <f>AL113</f>
        <v>0</v>
      </c>
      <c r="Y113" s="120"/>
      <c r="Z113" s="96">
        <f>SUM(T113:X113)</f>
        <v>48</v>
      </c>
      <c r="AA113" s="97">
        <f>IF(C113=2011, Z113/3,Z113)+Y113</f>
        <v>48</v>
      </c>
      <c r="AB113" s="22"/>
      <c r="AC113" s="237"/>
      <c r="AD113" s="237"/>
      <c r="AE113" s="237"/>
      <c r="AF113" s="237"/>
      <c r="AG113" s="237">
        <f>0</f>
        <v>0</v>
      </c>
      <c r="AH113" s="237"/>
      <c r="AI113" s="240"/>
      <c r="AJ113" s="95"/>
      <c r="AK113" s="96">
        <f>SUM(AC113:AI113)</f>
        <v>0</v>
      </c>
      <c r="AL113" s="97">
        <f>IF(C113=2015, AK113/3,AK113)+AJ113</f>
        <v>0</v>
      </c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</row>
    <row r="114" spans="1:57" s="52" customFormat="1" x14ac:dyDescent="0.25">
      <c r="A114" s="11" t="s">
        <v>47</v>
      </c>
      <c r="B114" s="11" t="s">
        <v>36</v>
      </c>
      <c r="C114" s="3">
        <v>2012</v>
      </c>
      <c r="D114" s="1">
        <f>R114+F114+E114</f>
        <v>44.666666666666664</v>
      </c>
      <c r="E114" s="233"/>
      <c r="F114" s="219"/>
      <c r="G114" s="154"/>
      <c r="H114" s="219"/>
      <c r="I114" s="205"/>
      <c r="J114" s="196"/>
      <c r="K114" s="186"/>
      <c r="L114" s="170">
        <f>48</f>
        <v>48</v>
      </c>
      <c r="M114" s="50"/>
      <c r="N114" s="50"/>
      <c r="O114" s="219">
        <f>AA114</f>
        <v>86</v>
      </c>
      <c r="P114" s="120"/>
      <c r="Q114" s="96">
        <f>I114+J114+K114+L114+M114+N114+O114</f>
        <v>134</v>
      </c>
      <c r="R114" s="97">
        <f>IF(C114=2012, Q114/3,Q114)+P114</f>
        <v>44.666666666666664</v>
      </c>
      <c r="S114" s="238"/>
      <c r="T114" s="238"/>
      <c r="U114" s="50">
        <f>24</f>
        <v>24</v>
      </c>
      <c r="V114" s="50">
        <f>25</f>
        <v>25</v>
      </c>
      <c r="W114" s="50"/>
      <c r="X114" s="50">
        <f>AL114</f>
        <v>37</v>
      </c>
      <c r="Y114" s="120"/>
      <c r="Z114" s="96">
        <f>SUM(T114:X114)</f>
        <v>86</v>
      </c>
      <c r="AA114" s="97">
        <f>IF(C114=2011, Z114/3,Z114)+Y114</f>
        <v>86</v>
      </c>
      <c r="AB114" s="22"/>
      <c r="AC114" s="237">
        <v>2</v>
      </c>
      <c r="AD114" s="237"/>
      <c r="AE114" s="237">
        <f>6</f>
        <v>6</v>
      </c>
      <c r="AF114" s="237">
        <f>0</f>
        <v>0</v>
      </c>
      <c r="AG114" s="237">
        <f>29</f>
        <v>29</v>
      </c>
      <c r="AH114" s="237"/>
      <c r="AI114" s="240"/>
      <c r="AJ114" s="95"/>
      <c r="AK114" s="96">
        <f>SUM(AC114:AI114)</f>
        <v>37</v>
      </c>
      <c r="AL114" s="97">
        <f>IF(C114=2015, AK114/3,AK114)+AJ114</f>
        <v>37</v>
      </c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</row>
    <row r="115" spans="1:57" x14ac:dyDescent="0.25">
      <c r="A115" s="11" t="s">
        <v>812</v>
      </c>
      <c r="B115" s="60" t="s">
        <v>587</v>
      </c>
      <c r="C115" s="62">
        <v>2011</v>
      </c>
      <c r="D115" s="1">
        <f>R115+F115+E115</f>
        <v>12</v>
      </c>
      <c r="G115" s="120"/>
      <c r="I115" s="205"/>
      <c r="J115" s="205"/>
      <c r="K115" s="205"/>
      <c r="L115" s="205"/>
      <c r="M115" s="205"/>
      <c r="N115" s="205">
        <f>12</f>
        <v>12</v>
      </c>
      <c r="O115" s="219">
        <f>AA115</f>
        <v>0</v>
      </c>
      <c r="P115" s="120"/>
      <c r="Q115" s="96">
        <f>I115+J115+K115+L115+M115+N115+O115</f>
        <v>12</v>
      </c>
      <c r="R115" s="97">
        <f>IF(C115=2012, Q115/3,Q115)+P115</f>
        <v>12</v>
      </c>
      <c r="S115" s="22"/>
      <c r="T115" s="50"/>
      <c r="U115" s="50"/>
      <c r="V115" s="50"/>
      <c r="W115" s="50"/>
      <c r="X115" s="50"/>
      <c r="Y115" s="120"/>
      <c r="Z115" s="96">
        <f>SUM(T115:X115)</f>
        <v>0</v>
      </c>
      <c r="AA115" s="97"/>
      <c r="AB115" s="22"/>
      <c r="AC115" s="41"/>
      <c r="AD115" s="41"/>
      <c r="AE115" s="41"/>
      <c r="AF115" s="41"/>
      <c r="AG115" s="41"/>
      <c r="AH115" s="41"/>
      <c r="AJ115" s="95"/>
      <c r="AK115" s="96"/>
      <c r="AL115" s="97"/>
    </row>
    <row r="116" spans="1:57" x14ac:dyDescent="0.25">
      <c r="A116" s="45" t="s">
        <v>591</v>
      </c>
      <c r="B116" s="66" t="s">
        <v>587</v>
      </c>
      <c r="C116" s="46">
        <v>2011</v>
      </c>
      <c r="D116" s="1">
        <f>R116+F116+E116</f>
        <v>6</v>
      </c>
      <c r="E116" s="156"/>
      <c r="F116" s="156"/>
      <c r="G116" s="122"/>
      <c r="H116" s="156"/>
      <c r="I116" s="205"/>
      <c r="J116" s="196"/>
      <c r="K116" s="186"/>
      <c r="L116" s="170"/>
      <c r="M116" s="50"/>
      <c r="N116" s="50">
        <f>3</f>
        <v>3</v>
      </c>
      <c r="O116" s="219">
        <f>AA116</f>
        <v>3</v>
      </c>
      <c r="P116" s="120"/>
      <c r="Q116" s="96">
        <f>I116+J116+K116+L116+M116+N116+O116</f>
        <v>6</v>
      </c>
      <c r="R116" s="97">
        <f>IF(C116=2012, Q116/3,Q116)+P116</f>
        <v>6</v>
      </c>
      <c r="S116" s="237"/>
      <c r="T116" s="50"/>
      <c r="U116" s="50"/>
      <c r="V116" s="50"/>
      <c r="W116" s="50">
        <f>0</f>
        <v>0</v>
      </c>
      <c r="X116" s="50"/>
      <c r="Y116" s="120">
        <f>3</f>
        <v>3</v>
      </c>
      <c r="Z116" s="96">
        <f>SUM(T116:X116)</f>
        <v>0</v>
      </c>
      <c r="AA116" s="97">
        <f>IF(C116=2011, Z116/3,Z116)+Y116</f>
        <v>3</v>
      </c>
      <c r="AB116" s="101"/>
      <c r="AC116" s="41"/>
      <c r="AD116" s="41"/>
      <c r="AE116" s="41"/>
      <c r="AF116" s="41"/>
      <c r="AG116" s="41"/>
      <c r="AH116" s="41"/>
      <c r="AJ116" s="95"/>
      <c r="AK116" s="96"/>
      <c r="AL116" s="97"/>
    </row>
    <row r="117" spans="1:57" x14ac:dyDescent="0.25">
      <c r="A117" s="51" t="s">
        <v>25</v>
      </c>
      <c r="B117" s="51" t="s">
        <v>23</v>
      </c>
      <c r="C117" s="52">
        <v>2011</v>
      </c>
      <c r="D117" s="1">
        <f>R117+F117+E117</f>
        <v>96.666666666666671</v>
      </c>
      <c r="E117" s="108"/>
      <c r="F117" s="108"/>
      <c r="G117" s="122"/>
      <c r="H117" s="108"/>
      <c r="I117" s="205"/>
      <c r="J117" s="196">
        <f>0+3</f>
        <v>3</v>
      </c>
      <c r="K117" s="186"/>
      <c r="L117" s="170"/>
      <c r="M117" s="50"/>
      <c r="N117" s="50"/>
      <c r="O117" s="219">
        <f>AA117</f>
        <v>93.666666666666671</v>
      </c>
      <c r="P117" s="120"/>
      <c r="Q117" s="96">
        <f>I117+J117+K117+L117+M117+N117+O117</f>
        <v>96.666666666666671</v>
      </c>
      <c r="R117" s="97">
        <f>IF(C117=2012, Q117/3,Q117)+P117</f>
        <v>96.666666666666671</v>
      </c>
      <c r="S117" s="237"/>
      <c r="T117" s="219"/>
      <c r="U117" s="50"/>
      <c r="V117" s="50">
        <f>66+57</f>
        <v>123</v>
      </c>
      <c r="W117" s="50"/>
      <c r="X117" s="50">
        <f>AL117</f>
        <v>158</v>
      </c>
      <c r="Y117" s="120"/>
      <c r="Z117" s="96">
        <f>SUM(T117:X117)</f>
        <v>281</v>
      </c>
      <c r="AA117" s="97">
        <f>IF(C117=2011, Z117/3,Z117)+Y117</f>
        <v>93.666666666666671</v>
      </c>
      <c r="AB117" s="22"/>
      <c r="AC117" s="237">
        <f>11</f>
        <v>11</v>
      </c>
      <c r="AD117" s="237"/>
      <c r="AE117" s="237"/>
      <c r="AF117" s="237"/>
      <c r="AG117" s="237"/>
      <c r="AH117" s="237"/>
      <c r="AI117" s="237">
        <v>147</v>
      </c>
      <c r="AJ117" s="95"/>
      <c r="AK117" s="96">
        <f>SUM(AC117:AI117)</f>
        <v>158</v>
      </c>
      <c r="AL117" s="97">
        <f>IF(C117=2015, AK117/3,AK117)+AJ117</f>
        <v>158</v>
      </c>
      <c r="AM117" s="52"/>
      <c r="AN117" s="5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</row>
    <row r="118" spans="1:57" x14ac:dyDescent="0.25">
      <c r="A118" s="11" t="s">
        <v>925</v>
      </c>
      <c r="B118" s="60" t="s">
        <v>64</v>
      </c>
      <c r="C118" s="62"/>
      <c r="D118" s="1">
        <f>R118+F118+E118</f>
        <v>3</v>
      </c>
      <c r="G118" s="237"/>
      <c r="I118" s="205"/>
      <c r="J118" s="196"/>
      <c r="K118" s="186"/>
      <c r="L118" s="170">
        <f>3</f>
        <v>3</v>
      </c>
      <c r="M118" s="50"/>
      <c r="N118" s="50"/>
      <c r="O118" s="219">
        <f>AA118</f>
        <v>0</v>
      </c>
      <c r="P118" s="120"/>
      <c r="Q118" s="96">
        <f>I118+J118+K118+L118+M118+N118+O118</f>
        <v>3</v>
      </c>
      <c r="R118" s="97">
        <f>IF(C118=2012, Q118/3,Q118)+P118</f>
        <v>3</v>
      </c>
      <c r="S118" s="22"/>
      <c r="T118" s="50"/>
      <c r="U118" s="50"/>
      <c r="V118" s="50"/>
      <c r="W118" s="50"/>
      <c r="X118" s="50"/>
      <c r="Y118" s="120"/>
      <c r="Z118" s="96">
        <f>SUM(T118:X118)</f>
        <v>0</v>
      </c>
      <c r="AA118" s="97">
        <f>IF(C118=2011, Z118/3,Z118)+Y118</f>
        <v>0</v>
      </c>
      <c r="AB118" s="22"/>
      <c r="AC118" s="41"/>
      <c r="AD118" s="41"/>
      <c r="AE118" s="41"/>
      <c r="AF118" s="41"/>
      <c r="AG118" s="41"/>
      <c r="AH118" s="41"/>
      <c r="AJ118" s="95"/>
      <c r="AK118" s="96"/>
      <c r="AL118" s="97"/>
    </row>
    <row r="119" spans="1:57" x14ac:dyDescent="0.25">
      <c r="A119" s="11" t="s">
        <v>146</v>
      </c>
      <c r="B119" s="60" t="s">
        <v>64</v>
      </c>
      <c r="C119" s="62">
        <v>2012</v>
      </c>
      <c r="D119" s="1">
        <f>R119+F119+E119</f>
        <v>0</v>
      </c>
      <c r="G119" s="154"/>
      <c r="I119" s="205"/>
      <c r="J119" s="196"/>
      <c r="K119" s="186"/>
      <c r="L119" s="170"/>
      <c r="M119" s="50"/>
      <c r="N119" s="50"/>
      <c r="O119" s="219">
        <f>AA119</f>
        <v>0</v>
      </c>
      <c r="P119" s="120"/>
      <c r="Q119" s="96">
        <f>I119+J119+K119+L119+M119+N119+O119</f>
        <v>0</v>
      </c>
      <c r="R119" s="97">
        <f>IF(C119=2012, Q119/3,Q119)+P119</f>
        <v>0</v>
      </c>
      <c r="S119" s="238"/>
      <c r="T119" s="238"/>
      <c r="U119" s="50"/>
      <c r="V119" s="50"/>
      <c r="W119" s="50"/>
      <c r="X119" s="50">
        <f>AL119</f>
        <v>0</v>
      </c>
      <c r="Y119" s="120"/>
      <c r="Z119" s="96">
        <f>SUM(T119:X119)</f>
        <v>0</v>
      </c>
      <c r="AA119" s="97">
        <f>IF(C119=2011, Z119/3,Z119)+Y119</f>
        <v>0</v>
      </c>
      <c r="AB119" s="22"/>
      <c r="AC119" s="41"/>
      <c r="AD119" s="41">
        <v>0</v>
      </c>
      <c r="AE119" s="41"/>
      <c r="AF119" s="41"/>
      <c r="AG119" s="41"/>
      <c r="AH119" s="41"/>
      <c r="AJ119" s="95"/>
      <c r="AK119" s="96">
        <f>SUM(AC119:AI119)</f>
        <v>0</v>
      </c>
      <c r="AL119" s="97">
        <f>IF(C119=2015, AK119/3,AK119)+AJ119</f>
        <v>0</v>
      </c>
    </row>
    <row r="120" spans="1:57" x14ac:dyDescent="0.25">
      <c r="A120" s="60" t="s">
        <v>649</v>
      </c>
      <c r="B120" s="60" t="s">
        <v>111</v>
      </c>
      <c r="C120" s="62"/>
      <c r="D120" s="1">
        <f>R120+F120+E120</f>
        <v>52.666666666666664</v>
      </c>
      <c r="G120" s="154"/>
      <c r="I120" s="205"/>
      <c r="J120" s="205"/>
      <c r="K120" s="205"/>
      <c r="L120" s="205"/>
      <c r="M120" s="205"/>
      <c r="N120" s="205"/>
      <c r="O120" s="219">
        <f>AA120</f>
        <v>52.666666666666664</v>
      </c>
      <c r="P120" s="120"/>
      <c r="Q120" s="96">
        <f>I120+J120+K120+L120+M120+N120+O120</f>
        <v>52.666666666666664</v>
      </c>
      <c r="R120" s="97">
        <f>IF(C120=2012, Q120/3,Q120)+P120</f>
        <v>52.666666666666664</v>
      </c>
      <c r="S120" s="22"/>
      <c r="T120" s="219"/>
      <c r="U120" s="50"/>
      <c r="V120" s="50">
        <f>10</f>
        <v>10</v>
      </c>
      <c r="W120" s="50"/>
      <c r="X120" s="50">
        <f>128/3</f>
        <v>42.666666666666664</v>
      </c>
      <c r="Y120" s="120"/>
      <c r="Z120" s="96">
        <f>SUM(T120:X120)</f>
        <v>52.666666666666664</v>
      </c>
      <c r="AA120" s="97">
        <f>IF(C120=2011, Z120/3,Z120)+Y120</f>
        <v>52.666666666666664</v>
      </c>
      <c r="AB120" s="22"/>
      <c r="AJ120" s="95"/>
      <c r="AK120" s="96"/>
      <c r="AL120" s="97"/>
    </row>
    <row r="121" spans="1:57" s="52" customFormat="1" x14ac:dyDescent="0.25">
      <c r="A121" s="126" t="s">
        <v>505</v>
      </c>
      <c r="B121" s="65" t="s">
        <v>63</v>
      </c>
      <c r="C121" s="62">
        <v>2009</v>
      </c>
      <c r="D121" s="1">
        <f>R121+F121+E121</f>
        <v>112</v>
      </c>
      <c r="E121" s="156"/>
      <c r="F121" s="156"/>
      <c r="G121" s="122"/>
      <c r="H121" s="156"/>
      <c r="I121" s="205">
        <f>0</f>
        <v>0</v>
      </c>
      <c r="J121" s="196">
        <f>12</f>
        <v>12</v>
      </c>
      <c r="K121" s="186">
        <f>0</f>
        <v>0</v>
      </c>
      <c r="L121" s="170">
        <f>6</f>
        <v>6</v>
      </c>
      <c r="M121" s="50">
        <f>0+6</f>
        <v>6</v>
      </c>
      <c r="N121" s="50">
        <f>0+9</f>
        <v>9</v>
      </c>
      <c r="O121" s="219">
        <f>AA121</f>
        <v>79</v>
      </c>
      <c r="P121" s="120"/>
      <c r="Q121" s="96">
        <f>I121+J121+K121+L121+M121+N121+O121</f>
        <v>112</v>
      </c>
      <c r="R121" s="97">
        <f>IF(C121=2012, Q121/3,Q121)+P121</f>
        <v>112</v>
      </c>
      <c r="S121" s="22"/>
      <c r="T121" s="237">
        <f>24</f>
        <v>24</v>
      </c>
      <c r="U121" s="50"/>
      <c r="V121" s="50">
        <f>14</f>
        <v>14</v>
      </c>
      <c r="W121" s="50">
        <f>4</f>
        <v>4</v>
      </c>
      <c r="X121" s="50">
        <f>AL121</f>
        <v>34</v>
      </c>
      <c r="Y121" s="120">
        <f>3</f>
        <v>3</v>
      </c>
      <c r="Z121" s="96">
        <f>SUM(T121:X121)</f>
        <v>76</v>
      </c>
      <c r="AA121" s="97">
        <f>IF(C121=2011, Z121/3,Z121)+Y121</f>
        <v>79</v>
      </c>
      <c r="AB121" s="22"/>
      <c r="AC121" s="13"/>
      <c r="AD121" s="13"/>
      <c r="AE121" s="13"/>
      <c r="AF121" s="13"/>
      <c r="AG121" s="13"/>
      <c r="AH121" s="13">
        <f>3</f>
        <v>3</v>
      </c>
      <c r="AI121" s="13">
        <f>25</f>
        <v>25</v>
      </c>
      <c r="AJ121" s="95">
        <f>6</f>
        <v>6</v>
      </c>
      <c r="AK121" s="96">
        <f>SUM(AC121:AI121)</f>
        <v>28</v>
      </c>
      <c r="AL121" s="97">
        <f>IF(C121=2010, AK121/3,AK121)+AJ121</f>
        <v>34</v>
      </c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</row>
    <row r="122" spans="1:57" x14ac:dyDescent="0.25">
      <c r="A122" s="11" t="s">
        <v>568</v>
      </c>
      <c r="B122" s="60" t="s">
        <v>64</v>
      </c>
      <c r="C122" s="62">
        <v>2010</v>
      </c>
      <c r="D122" s="1">
        <f>R122+F122+E122</f>
        <v>121</v>
      </c>
      <c r="E122" s="233">
        <f>27</f>
        <v>27</v>
      </c>
      <c r="G122" s="154"/>
      <c r="I122" s="205"/>
      <c r="J122" s="196">
        <f>0</f>
        <v>0</v>
      </c>
      <c r="K122" s="186"/>
      <c r="L122" s="170"/>
      <c r="M122" s="50">
        <f>51</f>
        <v>51</v>
      </c>
      <c r="N122" s="50">
        <f>18+6</f>
        <v>24</v>
      </c>
      <c r="O122" s="219">
        <f>AA122</f>
        <v>19</v>
      </c>
      <c r="P122" s="120"/>
      <c r="Q122" s="96">
        <f>I122+J122+K122+L122+M122+N122+O122</f>
        <v>94</v>
      </c>
      <c r="R122" s="97">
        <f>IF(C122=2012, Q122/3,Q122)+P122</f>
        <v>94</v>
      </c>
      <c r="S122" s="22"/>
      <c r="T122" s="50"/>
      <c r="U122" s="50"/>
      <c r="V122" s="50"/>
      <c r="W122" s="50">
        <f>16+3</f>
        <v>19</v>
      </c>
      <c r="X122" s="50"/>
      <c r="Y122" s="120"/>
      <c r="Z122" s="96">
        <f>SUM(T122:X122)</f>
        <v>19</v>
      </c>
      <c r="AA122" s="97">
        <f>IF(C122=2011, Z122/3,Z122)+Y122</f>
        <v>19</v>
      </c>
      <c r="AB122" s="22"/>
      <c r="AC122" s="41"/>
      <c r="AD122" s="41"/>
      <c r="AE122" s="41"/>
      <c r="AF122" s="41"/>
      <c r="AG122" s="41"/>
      <c r="AH122" s="41"/>
      <c r="AJ122" s="95"/>
      <c r="AK122" s="96"/>
      <c r="AL122" s="97"/>
    </row>
    <row r="123" spans="1:57" x14ac:dyDescent="0.25">
      <c r="A123" s="11" t="s">
        <v>568</v>
      </c>
      <c r="B123" s="11" t="s">
        <v>64</v>
      </c>
      <c r="C123" s="3">
        <v>2011</v>
      </c>
      <c r="D123" s="1">
        <f>R123+F123+E123</f>
        <v>65.666666666666657</v>
      </c>
      <c r="E123" s="237"/>
      <c r="F123" s="237"/>
      <c r="G123" s="120"/>
      <c r="H123" s="237"/>
      <c r="I123" s="205"/>
      <c r="J123" s="196"/>
      <c r="K123" s="186"/>
      <c r="L123" s="170"/>
      <c r="M123" s="50">
        <f>3+18</f>
        <v>21</v>
      </c>
      <c r="N123" s="50">
        <f>9</f>
        <v>9</v>
      </c>
      <c r="O123" s="219">
        <f>AA123</f>
        <v>35.666666666666664</v>
      </c>
      <c r="P123" s="120"/>
      <c r="Q123" s="96">
        <f>I123+J123+K123+L123+M123+N123+O123</f>
        <v>65.666666666666657</v>
      </c>
      <c r="R123" s="97">
        <f>IF(C123=2012, Q123/3,Q123)+P123</f>
        <v>65.666666666666657</v>
      </c>
      <c r="S123" s="219"/>
      <c r="T123" s="50"/>
      <c r="U123" s="50">
        <f>45</f>
        <v>45</v>
      </c>
      <c r="V123" s="50">
        <f>62</f>
        <v>62</v>
      </c>
      <c r="W123" s="50"/>
      <c r="X123" s="50"/>
      <c r="Y123" s="120"/>
      <c r="Z123" s="96">
        <f>SUM(T123:X123)</f>
        <v>107</v>
      </c>
      <c r="AA123" s="97">
        <f>IF(C123=2011, Z123/3,Z123)+Y123</f>
        <v>35.666666666666664</v>
      </c>
      <c r="AB123" s="22"/>
      <c r="AC123" s="219"/>
      <c r="AD123" s="219"/>
      <c r="AE123" s="219"/>
      <c r="AF123" s="219"/>
      <c r="AG123" s="219"/>
      <c r="AH123" s="219"/>
      <c r="AI123" s="240"/>
      <c r="AJ123" s="95"/>
      <c r="AK123" s="96"/>
      <c r="AL123" s="97"/>
    </row>
    <row r="124" spans="1:57" x14ac:dyDescent="0.25">
      <c r="A124" s="11" t="s">
        <v>599</v>
      </c>
      <c r="B124" s="60" t="s">
        <v>587</v>
      </c>
      <c r="C124" s="62">
        <v>2009</v>
      </c>
      <c r="D124" s="1">
        <f>R124+F124+E124</f>
        <v>3</v>
      </c>
      <c r="G124" s="120"/>
      <c r="I124" s="205"/>
      <c r="J124" s="196"/>
      <c r="K124" s="186"/>
      <c r="L124" s="170"/>
      <c r="M124" s="50"/>
      <c r="N124" s="50"/>
      <c r="O124" s="219">
        <f>AA124</f>
        <v>3</v>
      </c>
      <c r="P124" s="120"/>
      <c r="Q124" s="96">
        <f>I124+J124+K124+L124+M124+N124+O124</f>
        <v>3</v>
      </c>
      <c r="R124" s="97">
        <f>IF(C124=2012, Q124/3,Q124)+P124</f>
        <v>3</v>
      </c>
      <c r="S124" s="22"/>
      <c r="T124" s="237"/>
      <c r="U124" s="50"/>
      <c r="V124" s="50"/>
      <c r="W124" s="50">
        <f>3</f>
        <v>3</v>
      </c>
      <c r="X124" s="50"/>
      <c r="Y124" s="120"/>
      <c r="Z124" s="96">
        <f>SUM(T124:X124)</f>
        <v>3</v>
      </c>
      <c r="AA124" s="97">
        <f>IF(C124=2011, Z124/3,Z124)+Y124</f>
        <v>3</v>
      </c>
      <c r="AB124" s="22"/>
      <c r="AC124" s="41"/>
      <c r="AD124" s="41"/>
      <c r="AE124" s="41"/>
      <c r="AF124" s="41"/>
      <c r="AG124" s="41"/>
      <c r="AH124" s="41"/>
      <c r="AJ124" s="95"/>
      <c r="AK124" s="96"/>
      <c r="AL124" s="97"/>
    </row>
    <row r="125" spans="1:57" x14ac:dyDescent="0.25">
      <c r="A125" s="11" t="s">
        <v>667</v>
      </c>
      <c r="B125" s="60" t="s">
        <v>663</v>
      </c>
      <c r="C125" s="62"/>
      <c r="D125" s="1">
        <f>R125+F125+E125</f>
        <v>90</v>
      </c>
      <c r="G125" s="154"/>
      <c r="I125" s="205"/>
      <c r="J125" s="196"/>
      <c r="K125" s="186"/>
      <c r="L125" s="170"/>
      <c r="M125" s="50"/>
      <c r="N125" s="50"/>
      <c r="O125" s="219">
        <f>AA125</f>
        <v>90</v>
      </c>
      <c r="P125" s="120"/>
      <c r="Q125" s="96">
        <f>I125+J125+K125+L125+M125+N125+O125</f>
        <v>90</v>
      </c>
      <c r="R125" s="97">
        <f>IF(C125=2012, Q125/3,Q125)+P125</f>
        <v>90</v>
      </c>
      <c r="S125" s="22"/>
      <c r="T125" s="50"/>
      <c r="U125" s="50"/>
      <c r="V125" s="50">
        <f>90</f>
        <v>90</v>
      </c>
      <c r="W125" s="50"/>
      <c r="X125" s="50"/>
      <c r="Y125" s="120"/>
      <c r="Z125" s="96">
        <f>SUM(T125:X125)</f>
        <v>90</v>
      </c>
      <c r="AA125" s="97">
        <f>IF(C125=2011, Z125/3,Z125)+Y125</f>
        <v>90</v>
      </c>
      <c r="AB125" s="22"/>
      <c r="AC125" s="41"/>
      <c r="AD125" s="41"/>
      <c r="AE125" s="41"/>
      <c r="AF125" s="41"/>
      <c r="AG125" s="41"/>
      <c r="AH125" s="41"/>
      <c r="AJ125" s="95"/>
      <c r="AK125" s="96"/>
      <c r="AL125" s="97"/>
    </row>
    <row r="126" spans="1:57" x14ac:dyDescent="0.25">
      <c r="A126" s="11" t="s">
        <v>143</v>
      </c>
      <c r="B126" s="60" t="s">
        <v>111</v>
      </c>
      <c r="C126" s="62">
        <v>2010</v>
      </c>
      <c r="D126" s="1">
        <f>R126+F126+E126</f>
        <v>136.33333333333331</v>
      </c>
      <c r="G126" s="120"/>
      <c r="I126" s="205"/>
      <c r="J126" s="196"/>
      <c r="K126" s="186"/>
      <c r="L126" s="170"/>
      <c r="M126" s="50"/>
      <c r="N126" s="50"/>
      <c r="O126" s="219">
        <f>AA126</f>
        <v>136.33333333333331</v>
      </c>
      <c r="P126" s="120"/>
      <c r="Q126" s="96">
        <f>I126+J126+K126+L126+M126+N126+O126</f>
        <v>136.33333333333331</v>
      </c>
      <c r="R126" s="97">
        <f>IF(C126=2012, Q126/3,Q126)+P126</f>
        <v>136.33333333333331</v>
      </c>
      <c r="S126" s="22"/>
      <c r="T126" s="219"/>
      <c r="U126" s="50">
        <f>22</f>
        <v>22</v>
      </c>
      <c r="V126" s="50">
        <f>41+8</f>
        <v>49</v>
      </c>
      <c r="W126" s="50"/>
      <c r="X126" s="50">
        <f>AL126</f>
        <v>65.333333333333329</v>
      </c>
      <c r="Y126" s="120"/>
      <c r="Z126" s="96">
        <f>SUM(T126:X126)</f>
        <v>136.33333333333331</v>
      </c>
      <c r="AA126" s="97">
        <f>IF(C126=2011, Z126/3,Z126)+Y126</f>
        <v>136.33333333333331</v>
      </c>
      <c r="AB126" s="22"/>
      <c r="AC126" s="41"/>
      <c r="AD126" s="41">
        <f>0+5</f>
        <v>5</v>
      </c>
      <c r="AE126" s="41"/>
      <c r="AF126" s="41">
        <f>45+6</f>
        <v>51</v>
      </c>
      <c r="AG126" s="41">
        <f>48+15</f>
        <v>63</v>
      </c>
      <c r="AH126" s="41">
        <f>47+30</f>
        <v>77</v>
      </c>
      <c r="AJ126" s="95"/>
      <c r="AK126" s="96">
        <f>SUM(AC126:AI126)</f>
        <v>196</v>
      </c>
      <c r="AL126" s="97">
        <f>IF(C126=2010, AK126/3,AK126)+AJ126</f>
        <v>65.333333333333329</v>
      </c>
    </row>
    <row r="127" spans="1:57" s="52" customFormat="1" x14ac:dyDescent="0.25">
      <c r="A127" s="11" t="s">
        <v>922</v>
      </c>
      <c r="B127" s="60" t="s">
        <v>297</v>
      </c>
      <c r="C127" s="62">
        <v>2010</v>
      </c>
      <c r="D127" s="1">
        <f>R127+F127+E127</f>
        <v>1</v>
      </c>
      <c r="E127" s="233"/>
      <c r="F127" s="219"/>
      <c r="G127" s="237"/>
      <c r="H127" s="219"/>
      <c r="I127" s="205"/>
      <c r="J127" s="196"/>
      <c r="K127" s="186"/>
      <c r="L127" s="170">
        <f>1</f>
        <v>1</v>
      </c>
      <c r="M127" s="50"/>
      <c r="N127" s="50"/>
      <c r="O127" s="219">
        <f>AA127</f>
        <v>0</v>
      </c>
      <c r="P127" s="120"/>
      <c r="Q127" s="96">
        <f>I127+J127+K127+L127+M127+N127+O127</f>
        <v>1</v>
      </c>
      <c r="R127" s="97">
        <f>IF(C127=2012, Q127/3,Q127)+P127</f>
        <v>1</v>
      </c>
      <c r="S127" s="22"/>
      <c r="T127" s="50"/>
      <c r="U127" s="50"/>
      <c r="V127" s="50"/>
      <c r="W127" s="50"/>
      <c r="X127" s="50"/>
      <c r="Y127" s="120"/>
      <c r="Z127" s="96">
        <f>SUM(T127:X127)</f>
        <v>0</v>
      </c>
      <c r="AA127" s="97">
        <f>IF(C127=2011, Z127/3,Z127)+Y127</f>
        <v>0</v>
      </c>
      <c r="AB127" s="22"/>
      <c r="AC127" s="41"/>
      <c r="AD127" s="41"/>
      <c r="AE127" s="41"/>
      <c r="AF127" s="41"/>
      <c r="AG127" s="41"/>
      <c r="AH127" s="41"/>
      <c r="AI127" s="13"/>
      <c r="AJ127" s="95"/>
      <c r="AK127" s="96"/>
      <c r="AL127" s="97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</row>
    <row r="128" spans="1:57" x14ac:dyDescent="0.25">
      <c r="A128" s="11" t="s">
        <v>711</v>
      </c>
      <c r="B128" s="60" t="s">
        <v>532</v>
      </c>
      <c r="C128" s="62">
        <v>2009</v>
      </c>
      <c r="D128" s="1">
        <f>R128+F128+E128</f>
        <v>9</v>
      </c>
      <c r="G128" s="154"/>
      <c r="I128" s="205"/>
      <c r="J128" s="196"/>
      <c r="K128" s="186"/>
      <c r="L128" s="170"/>
      <c r="M128" s="50"/>
      <c r="N128" s="50"/>
      <c r="O128" s="219">
        <f>AA128</f>
        <v>9</v>
      </c>
      <c r="P128" s="120"/>
      <c r="Q128" s="96">
        <f>I128+J128+K128+L128+M128+N128+O128</f>
        <v>9</v>
      </c>
      <c r="R128" s="97">
        <f>IF(C128=2012, Q128/3,Q128)+P128</f>
        <v>9</v>
      </c>
      <c r="S128" s="22"/>
      <c r="T128" s="50"/>
      <c r="U128" s="50">
        <f>9</f>
        <v>9</v>
      </c>
      <c r="V128" s="50"/>
      <c r="W128" s="50"/>
      <c r="X128" s="50"/>
      <c r="Y128" s="120"/>
      <c r="Z128" s="96">
        <f>SUM(T128:X128)</f>
        <v>9</v>
      </c>
      <c r="AA128" s="97">
        <f>IF(C128=2011, Z128/3,Z128)+Y128</f>
        <v>9</v>
      </c>
      <c r="AB128" s="22"/>
      <c r="AC128" s="41"/>
      <c r="AD128" s="41"/>
      <c r="AE128" s="41"/>
      <c r="AF128" s="41"/>
      <c r="AG128" s="41"/>
      <c r="AH128" s="41"/>
      <c r="AJ128" s="95"/>
      <c r="AK128" s="96"/>
      <c r="AL128" s="97"/>
    </row>
    <row r="129" spans="1:57" s="52" customFormat="1" x14ac:dyDescent="0.25">
      <c r="A129" s="11" t="s">
        <v>91</v>
      </c>
      <c r="B129" s="60" t="s">
        <v>64</v>
      </c>
      <c r="C129" s="62">
        <v>2011</v>
      </c>
      <c r="D129" s="1">
        <f>R129+F129+E129</f>
        <v>262</v>
      </c>
      <c r="E129" s="233"/>
      <c r="F129" s="219"/>
      <c r="G129" s="120"/>
      <c r="H129" s="219"/>
      <c r="I129" s="205"/>
      <c r="J129" s="196">
        <f>39+12</f>
        <v>51</v>
      </c>
      <c r="K129" s="186"/>
      <c r="L129" s="170"/>
      <c r="M129" s="50">
        <f>54+9+18</f>
        <v>81</v>
      </c>
      <c r="N129" s="50">
        <f>27+6+6</f>
        <v>39</v>
      </c>
      <c r="O129" s="219">
        <f>AA129</f>
        <v>91</v>
      </c>
      <c r="P129" s="120"/>
      <c r="Q129" s="96">
        <f>I129+J129+K129+L129+M129+N129+O129</f>
        <v>262</v>
      </c>
      <c r="R129" s="97">
        <f>IF(C129=2012, Q129/3,Q129)+P129</f>
        <v>262</v>
      </c>
      <c r="S129" s="237"/>
      <c r="T129" s="50"/>
      <c r="U129" s="50">
        <f>69</f>
        <v>69</v>
      </c>
      <c r="V129" s="50">
        <f>90</f>
        <v>90</v>
      </c>
      <c r="W129" s="50">
        <f>60</f>
        <v>60</v>
      </c>
      <c r="X129" s="50">
        <f>AL129</f>
        <v>45</v>
      </c>
      <c r="Y129" s="120">
        <f>3</f>
        <v>3</v>
      </c>
      <c r="Z129" s="96">
        <f>SUM(T129:X129)</f>
        <v>264</v>
      </c>
      <c r="AA129" s="97">
        <f>IF(C129=2011, Z129/3,Z129)+Y129</f>
        <v>91</v>
      </c>
      <c r="AB129" s="22"/>
      <c r="AC129" s="237"/>
      <c r="AD129" s="237">
        <v>45</v>
      </c>
      <c r="AE129" s="237"/>
      <c r="AF129" s="237"/>
      <c r="AG129" s="237"/>
      <c r="AH129" s="237"/>
      <c r="AI129" s="240"/>
      <c r="AJ129" s="95"/>
      <c r="AK129" s="96">
        <f>SUM(AC129:AI129)</f>
        <v>45</v>
      </c>
      <c r="AL129" s="97">
        <f>IF(C129=2015, AK129/3,AK129)+AJ129</f>
        <v>45</v>
      </c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</row>
    <row r="130" spans="1:57" x14ac:dyDescent="0.25">
      <c r="A130" s="51" t="s">
        <v>38</v>
      </c>
      <c r="B130" s="51" t="s">
        <v>23</v>
      </c>
      <c r="C130" s="52">
        <v>2012</v>
      </c>
      <c r="D130" s="1">
        <f>R130+F130+E130</f>
        <v>56.333333333333336</v>
      </c>
      <c r="G130" s="154"/>
      <c r="I130" s="205"/>
      <c r="J130" s="196"/>
      <c r="K130" s="186"/>
      <c r="L130" s="170"/>
      <c r="M130" s="50"/>
      <c r="N130" s="50"/>
      <c r="O130" s="219">
        <f>AA130</f>
        <v>169</v>
      </c>
      <c r="P130" s="120"/>
      <c r="Q130" s="96">
        <f>I130+J130+K130+L130+M130+N130+O130</f>
        <v>169</v>
      </c>
      <c r="R130" s="97">
        <f>IF(C130=2012, Q130/3,Q130)+P130</f>
        <v>56.333333333333336</v>
      </c>
      <c r="S130" s="222"/>
      <c r="T130" s="222"/>
      <c r="U130" s="50"/>
      <c r="V130" s="50"/>
      <c r="W130" s="50"/>
      <c r="X130" s="50">
        <f>AL130</f>
        <v>169</v>
      </c>
      <c r="Y130" s="120"/>
      <c r="Z130" s="96">
        <f>SUM(T130:X130)</f>
        <v>169</v>
      </c>
      <c r="AA130" s="97">
        <f>IF(C130=2011, Z130/3,Z130)+Y130</f>
        <v>169</v>
      </c>
      <c r="AB130" s="22"/>
      <c r="AC130" s="205">
        <f>9</f>
        <v>9</v>
      </c>
      <c r="AD130" s="205"/>
      <c r="AE130" s="205"/>
      <c r="AF130" s="205"/>
      <c r="AG130" s="205"/>
      <c r="AH130" s="205"/>
      <c r="AI130" s="237">
        <v>160</v>
      </c>
      <c r="AJ130" s="95"/>
      <c r="AK130" s="96">
        <f>SUM(AC130:AI130)</f>
        <v>169</v>
      </c>
      <c r="AL130" s="97">
        <f>IF(C130=2015, AK130/3,AK130)+AJ130</f>
        <v>169</v>
      </c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</row>
    <row r="131" spans="1:57" s="52" customFormat="1" x14ac:dyDescent="0.25">
      <c r="A131" s="183" t="s">
        <v>478</v>
      </c>
      <c r="B131" s="60" t="s">
        <v>479</v>
      </c>
      <c r="C131" s="62">
        <v>2011</v>
      </c>
      <c r="D131" s="1">
        <f>R131+F131+E131</f>
        <v>38</v>
      </c>
      <c r="E131" s="233"/>
      <c r="F131" s="219"/>
      <c r="G131" s="154"/>
      <c r="H131" s="219"/>
      <c r="I131" s="205"/>
      <c r="J131" s="196"/>
      <c r="K131" s="186"/>
      <c r="L131" s="170"/>
      <c r="M131" s="50"/>
      <c r="N131" s="50"/>
      <c r="O131" s="219">
        <f>AA131</f>
        <v>38</v>
      </c>
      <c r="P131" s="120"/>
      <c r="Q131" s="96">
        <f>I131+J131+K131+L131+M131+N131+O131</f>
        <v>38</v>
      </c>
      <c r="R131" s="97">
        <f>IF(C131=2012, Q131/3,Q131)+P131</f>
        <v>38</v>
      </c>
      <c r="S131" s="219"/>
      <c r="T131" s="219"/>
      <c r="U131" s="50">
        <f>36</f>
        <v>36</v>
      </c>
      <c r="V131" s="50">
        <f>37</f>
        <v>37</v>
      </c>
      <c r="W131" s="50">
        <f>0</f>
        <v>0</v>
      </c>
      <c r="X131" s="50">
        <f>AL131</f>
        <v>17</v>
      </c>
      <c r="Y131" s="120">
        <f>5+3</f>
        <v>8</v>
      </c>
      <c r="Z131" s="96">
        <f>SUM(T131:X131)</f>
        <v>90</v>
      </c>
      <c r="AA131" s="97">
        <f>IF(C131=2011, Z131/3,Z131)+Y131</f>
        <v>38</v>
      </c>
      <c r="AB131" s="22"/>
      <c r="AC131" s="219"/>
      <c r="AD131" s="219"/>
      <c r="AE131" s="219"/>
      <c r="AF131" s="219"/>
      <c r="AG131" s="219"/>
      <c r="AH131" s="219">
        <f>17</f>
        <v>17</v>
      </c>
      <c r="AI131" s="229"/>
      <c r="AJ131" s="95"/>
      <c r="AK131" s="96">
        <f>SUM(AC131:AI131)</f>
        <v>17</v>
      </c>
      <c r="AL131" s="97">
        <f>IF(C131=2015, AK131/3,AK131)+AJ131</f>
        <v>17</v>
      </c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</row>
    <row r="132" spans="1:57" s="52" customFormat="1" x14ac:dyDescent="0.25">
      <c r="A132" s="51" t="s">
        <v>493</v>
      </c>
      <c r="B132" s="51" t="s">
        <v>63</v>
      </c>
      <c r="C132" s="52">
        <v>2011</v>
      </c>
      <c r="D132" s="1">
        <f>R132+F132+E132</f>
        <v>223</v>
      </c>
      <c r="E132" s="108"/>
      <c r="F132" s="108"/>
      <c r="G132" s="122"/>
      <c r="H132" s="108"/>
      <c r="I132" s="205">
        <f>10</f>
        <v>10</v>
      </c>
      <c r="J132" s="196">
        <f>0</f>
        <v>0</v>
      </c>
      <c r="K132" s="186">
        <f>3</f>
        <v>3</v>
      </c>
      <c r="L132" s="170">
        <f>6+6</f>
        <v>12</v>
      </c>
      <c r="M132" s="50">
        <f>9+6</f>
        <v>15</v>
      </c>
      <c r="N132" s="50">
        <f>9+9</f>
        <v>18</v>
      </c>
      <c r="O132" s="219">
        <f>AA132</f>
        <v>165</v>
      </c>
      <c r="P132" s="120"/>
      <c r="Q132" s="96">
        <f>I132+J132+K132+L132+M132+N132+O132</f>
        <v>223</v>
      </c>
      <c r="R132" s="97">
        <f>IF(C132=2012, Q132/3,Q132)+P132</f>
        <v>223</v>
      </c>
      <c r="S132" s="237"/>
      <c r="T132" s="50"/>
      <c r="U132" s="50"/>
      <c r="V132" s="50">
        <f>126+72</f>
        <v>198</v>
      </c>
      <c r="W132" s="50">
        <f>18+54</f>
        <v>72</v>
      </c>
      <c r="X132" s="50">
        <f>AL132</f>
        <v>225</v>
      </c>
      <c r="Y132" s="120"/>
      <c r="Z132" s="96">
        <f>SUM(T132:X132)</f>
        <v>495</v>
      </c>
      <c r="AA132" s="97">
        <f>IF(C132=2011, Z132/3,Z132)+Y132</f>
        <v>165</v>
      </c>
      <c r="AB132" s="22"/>
      <c r="AC132" s="237"/>
      <c r="AD132" s="237"/>
      <c r="AE132" s="237"/>
      <c r="AF132" s="237"/>
      <c r="AG132" s="237"/>
      <c r="AH132" s="237">
        <f>48+60</f>
        <v>108</v>
      </c>
      <c r="AI132" s="151">
        <f>117</f>
        <v>117</v>
      </c>
      <c r="AJ132" s="95"/>
      <c r="AK132" s="96">
        <f>SUM(AC132:AI132)</f>
        <v>225</v>
      </c>
      <c r="AL132" s="97">
        <f>IF(C132=2015, AK132/3,AK132)+AJ132</f>
        <v>225</v>
      </c>
    </row>
    <row r="133" spans="1:57" s="52" customFormat="1" ht="14.25" customHeight="1" x14ac:dyDescent="0.25">
      <c r="A133" s="11" t="s">
        <v>315</v>
      </c>
      <c r="B133" s="60" t="s">
        <v>273</v>
      </c>
      <c r="C133" s="62">
        <v>2012</v>
      </c>
      <c r="D133" s="1">
        <f>R133+F133+E133</f>
        <v>0</v>
      </c>
      <c r="E133" s="233"/>
      <c r="F133" s="219"/>
      <c r="G133" s="154"/>
      <c r="H133" s="219"/>
      <c r="I133" s="205"/>
      <c r="J133" s="196"/>
      <c r="K133" s="186"/>
      <c r="L133" s="170"/>
      <c r="M133" s="50"/>
      <c r="N133" s="219"/>
      <c r="O133" s="219">
        <f>AA133</f>
        <v>0</v>
      </c>
      <c r="P133" s="120"/>
      <c r="Q133" s="96">
        <f>I133+J133+K133+L133+M133+N133+O133</f>
        <v>0</v>
      </c>
      <c r="R133" s="97">
        <f>IF(C133=2012, Q133/3,Q133)+P133</f>
        <v>0</v>
      </c>
      <c r="S133" s="238"/>
      <c r="T133" s="238"/>
      <c r="U133" s="50"/>
      <c r="V133" s="50"/>
      <c r="W133" s="50"/>
      <c r="X133" s="50">
        <f>AL133</f>
        <v>0</v>
      </c>
      <c r="Y133" s="120"/>
      <c r="Z133" s="96">
        <f>SUM(T133:X133)</f>
        <v>0</v>
      </c>
      <c r="AA133" s="97">
        <f>IF(C133=2011, Z133/3,Z133)+Y133</f>
        <v>0</v>
      </c>
      <c r="AB133" s="22"/>
      <c r="AC133" s="237"/>
      <c r="AD133" s="237"/>
      <c r="AE133" s="237"/>
      <c r="AF133" s="237">
        <f>0</f>
        <v>0</v>
      </c>
      <c r="AG133" s="237"/>
      <c r="AH133" s="237"/>
      <c r="AI133" s="240"/>
      <c r="AJ133" s="95"/>
      <c r="AK133" s="96">
        <f>SUM(AC133:AI133)</f>
        <v>0</v>
      </c>
      <c r="AL133" s="97">
        <f>IF(C133=2015, AK133/3,AK133)+AJ133</f>
        <v>0</v>
      </c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</row>
    <row r="134" spans="1:57" s="52" customFormat="1" ht="14.25" customHeight="1" x14ac:dyDescent="0.25">
      <c r="A134" s="228" t="s">
        <v>328</v>
      </c>
      <c r="B134" s="51" t="s">
        <v>7</v>
      </c>
      <c r="C134" s="52">
        <v>2010</v>
      </c>
      <c r="D134" s="1">
        <f>R134+F134+E134</f>
        <v>54.666666666666664</v>
      </c>
      <c r="E134" s="233"/>
      <c r="F134" s="219"/>
      <c r="G134" s="120"/>
      <c r="H134" s="219"/>
      <c r="I134" s="205"/>
      <c r="J134" s="196"/>
      <c r="K134" s="186"/>
      <c r="L134" s="170"/>
      <c r="M134" s="50"/>
      <c r="N134" s="50"/>
      <c r="O134" s="219">
        <f>AA134</f>
        <v>54.666666666666664</v>
      </c>
      <c r="P134" s="120"/>
      <c r="Q134" s="96">
        <f>I134+J134+K134+L134+M134+N134+O134</f>
        <v>54.666666666666664</v>
      </c>
      <c r="R134" s="97">
        <f>IF(C134=2012, Q134/3,Q134)+P134</f>
        <v>54.666666666666664</v>
      </c>
      <c r="S134" s="22"/>
      <c r="T134" s="219"/>
      <c r="U134" s="50"/>
      <c r="V134" s="50">
        <f>0</f>
        <v>0</v>
      </c>
      <c r="W134" s="50"/>
      <c r="X134" s="50">
        <f>AL134</f>
        <v>54.666666666666664</v>
      </c>
      <c r="Y134" s="120"/>
      <c r="Z134" s="96">
        <f>SUM(T134:X134)</f>
        <v>54.666666666666664</v>
      </c>
      <c r="AA134" s="97">
        <f>IF(C134=2011, Z134/3,Z134)+Y134</f>
        <v>54.666666666666664</v>
      </c>
      <c r="AB134" s="22"/>
      <c r="AC134" s="205"/>
      <c r="AD134" s="205"/>
      <c r="AE134" s="205"/>
      <c r="AF134" s="205">
        <v>57</v>
      </c>
      <c r="AG134" s="205"/>
      <c r="AH134" s="205"/>
      <c r="AI134" s="237">
        <f>89</f>
        <v>89</v>
      </c>
      <c r="AJ134" s="95">
        <f>6</f>
        <v>6</v>
      </c>
      <c r="AK134" s="96">
        <f>SUM(AC134:AI134)</f>
        <v>146</v>
      </c>
      <c r="AL134" s="97">
        <f>IF(C134=2010, AK134/3,AK134)+AJ134</f>
        <v>54.666666666666664</v>
      </c>
    </row>
    <row r="135" spans="1:57" x14ac:dyDescent="0.25">
      <c r="A135" s="60" t="s">
        <v>442</v>
      </c>
      <c r="B135" s="65" t="s">
        <v>63</v>
      </c>
      <c r="C135" s="62">
        <v>2009</v>
      </c>
      <c r="D135" s="1">
        <f>R135+F135+E135</f>
        <v>0</v>
      </c>
      <c r="G135" s="154"/>
      <c r="I135" s="205"/>
      <c r="J135" s="196"/>
      <c r="K135" s="186"/>
      <c r="L135" s="170"/>
      <c r="M135" s="50"/>
      <c r="N135" s="50"/>
      <c r="O135" s="219">
        <f>AA135</f>
        <v>0</v>
      </c>
      <c r="P135" s="120"/>
      <c r="Q135" s="96">
        <f>I135+J135+K135+L135+M135+N135+O135</f>
        <v>0</v>
      </c>
      <c r="R135" s="97">
        <f>IF(C135=2012, Q135/3,Q135)+P135</f>
        <v>0</v>
      </c>
      <c r="S135" s="22"/>
      <c r="T135" s="237"/>
      <c r="U135" s="50"/>
      <c r="V135" s="50"/>
      <c r="W135" s="50"/>
      <c r="X135" s="50">
        <f>AL135</f>
        <v>0</v>
      </c>
      <c r="Y135" s="120"/>
      <c r="Z135" s="96">
        <f>SUM(T135:X135)</f>
        <v>0</v>
      </c>
      <c r="AA135" s="97">
        <f>IF(C135=2011, Z135/3,Z135)+Y135</f>
        <v>0</v>
      </c>
      <c r="AB135" s="22"/>
      <c r="AG135" s="13">
        <f>0</f>
        <v>0</v>
      </c>
      <c r="AJ135" s="95"/>
      <c r="AK135" s="96">
        <f>SUM(AC135:AI135)</f>
        <v>0</v>
      </c>
      <c r="AL135" s="97">
        <f>IF(C135=2010, AK135/3,AK135)+AJ135</f>
        <v>0</v>
      </c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</row>
    <row r="136" spans="1:57" x14ac:dyDescent="0.25">
      <c r="A136" s="11" t="s">
        <v>120</v>
      </c>
      <c r="B136" s="60" t="s">
        <v>63</v>
      </c>
      <c r="C136" s="62">
        <v>2010</v>
      </c>
      <c r="D136" s="1">
        <f>R136+F136+E136</f>
        <v>80.333333333333343</v>
      </c>
      <c r="G136" s="154"/>
      <c r="I136" s="205">
        <f>0</f>
        <v>0</v>
      </c>
      <c r="J136" s="196">
        <f>4</f>
        <v>4</v>
      </c>
      <c r="K136" s="186">
        <f>0</f>
        <v>0</v>
      </c>
      <c r="L136" s="170">
        <f>0+6</f>
        <v>6</v>
      </c>
      <c r="M136" s="50">
        <f>0+6</f>
        <v>6</v>
      </c>
      <c r="N136" s="50">
        <f>0</f>
        <v>0</v>
      </c>
      <c r="O136" s="219">
        <f>AA136</f>
        <v>64.333333333333343</v>
      </c>
      <c r="P136" s="120"/>
      <c r="Q136" s="96">
        <f>I136+J136+K136+L136+M136+N136+O136</f>
        <v>80.333333333333343</v>
      </c>
      <c r="R136" s="97">
        <f>IF(C136=2012, Q136/3,Q136)+P136</f>
        <v>80.333333333333343</v>
      </c>
      <c r="S136" s="22"/>
      <c r="T136" s="50">
        <f>14</f>
        <v>14</v>
      </c>
      <c r="U136" s="50">
        <f>17</f>
        <v>17</v>
      </c>
      <c r="V136" s="50">
        <f>0</f>
        <v>0</v>
      </c>
      <c r="W136" s="50"/>
      <c r="X136" s="50">
        <f>AL136</f>
        <v>33.333333333333336</v>
      </c>
      <c r="Y136" s="120"/>
      <c r="Z136" s="96">
        <f>SUM(T136:X136)</f>
        <v>64.333333333333343</v>
      </c>
      <c r="AA136" s="97">
        <f>IF(C136=2011, Z136/3,Z136)+Y136</f>
        <v>64.333333333333343</v>
      </c>
      <c r="AB136" s="22"/>
      <c r="AC136" s="41"/>
      <c r="AD136" s="41">
        <v>32</v>
      </c>
      <c r="AE136" s="41">
        <f>6</f>
        <v>6</v>
      </c>
      <c r="AF136" s="41">
        <f>18</f>
        <v>18</v>
      </c>
      <c r="AG136" s="41">
        <f>27</f>
        <v>27</v>
      </c>
      <c r="AH136" s="41">
        <f>17</f>
        <v>17</v>
      </c>
      <c r="AJ136" s="95"/>
      <c r="AK136" s="96">
        <f>SUM(AC136:AI136)</f>
        <v>100</v>
      </c>
      <c r="AL136" s="97">
        <f>IF(C136=2010, AK136/3,AK136)+AJ136</f>
        <v>33.333333333333336</v>
      </c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</row>
    <row r="137" spans="1:57" s="52" customFormat="1" x14ac:dyDescent="0.25">
      <c r="A137" s="51" t="s">
        <v>272</v>
      </c>
      <c r="B137" s="65" t="s">
        <v>273</v>
      </c>
      <c r="C137" s="62"/>
      <c r="D137" s="1">
        <f>R137+F137+E137</f>
        <v>46</v>
      </c>
      <c r="E137" s="233"/>
      <c r="F137" s="219"/>
      <c r="G137" s="120"/>
      <c r="H137" s="219"/>
      <c r="I137" s="205"/>
      <c r="J137" s="196"/>
      <c r="K137" s="186"/>
      <c r="L137" s="170"/>
      <c r="M137" s="50"/>
      <c r="N137" s="237"/>
      <c r="O137" s="219">
        <f>AA137</f>
        <v>46</v>
      </c>
      <c r="P137" s="120"/>
      <c r="Q137" s="96">
        <f>I137+J137+K137+L137+M137+N137+O137</f>
        <v>46</v>
      </c>
      <c r="R137" s="97">
        <f>IF(C137=2012, Q137/3,Q137)+P137</f>
        <v>46</v>
      </c>
      <c r="S137" s="22"/>
      <c r="T137" s="219"/>
      <c r="U137" s="50"/>
      <c r="V137" s="50"/>
      <c r="W137" s="50"/>
      <c r="X137" s="50">
        <f>AL137</f>
        <v>46</v>
      </c>
      <c r="Y137" s="120"/>
      <c r="Z137" s="96">
        <f>SUM(T137:X137)</f>
        <v>46</v>
      </c>
      <c r="AA137" s="97">
        <f>IF(C137=2011, Z137/3,Z137)+Y137</f>
        <v>46</v>
      </c>
      <c r="AB137" s="22"/>
      <c r="AC137" s="13"/>
      <c r="AD137" s="13"/>
      <c r="AE137" s="13">
        <f>1</f>
        <v>1</v>
      </c>
      <c r="AF137" s="13">
        <f>45</f>
        <v>45</v>
      </c>
      <c r="AG137" s="13"/>
      <c r="AH137" s="13"/>
      <c r="AI137" s="13"/>
      <c r="AJ137" s="95"/>
      <c r="AK137" s="96">
        <f>SUM(AC137:AI137)</f>
        <v>46</v>
      </c>
      <c r="AL137" s="97">
        <f>IF(C137=2010, AK137/3,AK137)+AJ137</f>
        <v>46</v>
      </c>
    </row>
    <row r="138" spans="1:57" s="52" customFormat="1" x14ac:dyDescent="0.25">
      <c r="A138" s="11" t="s">
        <v>306</v>
      </c>
      <c r="B138" s="60" t="s">
        <v>0</v>
      </c>
      <c r="C138" s="62">
        <v>2010</v>
      </c>
      <c r="D138" s="1">
        <f>R138+F138+E138</f>
        <v>214</v>
      </c>
      <c r="E138" s="233">
        <f>3+4</f>
        <v>7</v>
      </c>
      <c r="F138" s="219"/>
      <c r="G138" s="154"/>
      <c r="H138" s="219"/>
      <c r="I138" s="205">
        <f>22+6</f>
        <v>28</v>
      </c>
      <c r="J138" s="196">
        <f>6+6</f>
        <v>12</v>
      </c>
      <c r="K138" s="186"/>
      <c r="L138" s="170">
        <f>16</f>
        <v>16</v>
      </c>
      <c r="M138" s="50">
        <f>6</f>
        <v>6</v>
      </c>
      <c r="N138" s="50">
        <f>32+3</f>
        <v>35</v>
      </c>
      <c r="O138" s="219">
        <f>AA138</f>
        <v>107</v>
      </c>
      <c r="P138" s="120">
        <f>3</f>
        <v>3</v>
      </c>
      <c r="Q138" s="96">
        <f>I138+J138+K138+L138+M138+N138+O138</f>
        <v>204</v>
      </c>
      <c r="R138" s="97">
        <f>IF(C138=2012, Q138/3,Q138)+P138</f>
        <v>207</v>
      </c>
      <c r="S138" s="22"/>
      <c r="T138" s="237">
        <f>24</f>
        <v>24</v>
      </c>
      <c r="U138" s="50">
        <f>16</f>
        <v>16</v>
      </c>
      <c r="V138" s="50">
        <f>39</f>
        <v>39</v>
      </c>
      <c r="W138" s="50"/>
      <c r="X138" s="50">
        <f>AL138</f>
        <v>28</v>
      </c>
      <c r="Y138" s="120"/>
      <c r="Z138" s="96">
        <f>SUM(T138:X138)</f>
        <v>107</v>
      </c>
      <c r="AA138" s="97">
        <f>IF(C138=2011, Z138/3,Z138)+Y138</f>
        <v>107</v>
      </c>
      <c r="AB138" s="22"/>
      <c r="AC138" s="41"/>
      <c r="AD138" s="41"/>
      <c r="AE138" s="41"/>
      <c r="AF138" s="41">
        <f>36</f>
        <v>36</v>
      </c>
      <c r="AG138" s="41">
        <f>45</f>
        <v>45</v>
      </c>
      <c r="AH138" s="41">
        <f>3</f>
        <v>3</v>
      </c>
      <c r="AI138" s="13"/>
      <c r="AJ138" s="95"/>
      <c r="AK138" s="96">
        <f>SUM(AC138:AI138)</f>
        <v>84</v>
      </c>
      <c r="AL138" s="97">
        <f>IF(C138=2010, AK138/3,AK138)+AJ138</f>
        <v>28</v>
      </c>
    </row>
    <row r="139" spans="1:57" x14ac:dyDescent="0.25">
      <c r="A139" s="71" t="s">
        <v>254</v>
      </c>
      <c r="B139" s="71" t="s">
        <v>232</v>
      </c>
      <c r="C139" s="72">
        <v>2012</v>
      </c>
      <c r="D139" s="1">
        <f>R139+F139+E139</f>
        <v>0</v>
      </c>
      <c r="G139" s="154"/>
      <c r="I139" s="205"/>
      <c r="J139" s="196"/>
      <c r="K139" s="186"/>
      <c r="L139" s="170"/>
      <c r="M139" s="50"/>
      <c r="N139" s="50"/>
      <c r="O139" s="219">
        <f>AA139</f>
        <v>0</v>
      </c>
      <c r="P139" s="120"/>
      <c r="Q139" s="96">
        <f>I139+J139+K139+L139+M139+N139+O139</f>
        <v>0</v>
      </c>
      <c r="R139" s="97">
        <f>IF(C139=2012, Q139/3,Q139)+P139</f>
        <v>0</v>
      </c>
      <c r="S139" s="238"/>
      <c r="T139" s="238"/>
      <c r="U139" s="50"/>
      <c r="V139" s="50"/>
      <c r="W139" s="50"/>
      <c r="X139" s="50">
        <f>AL139</f>
        <v>0</v>
      </c>
      <c r="Y139" s="120"/>
      <c r="Z139" s="96">
        <f>SUM(T139:X139)</f>
        <v>0</v>
      </c>
      <c r="AA139" s="97">
        <f>IF(C139=2011, Z139/3,Z139)+Y139</f>
        <v>0</v>
      </c>
      <c r="AB139" s="22"/>
      <c r="AC139" s="237"/>
      <c r="AD139" s="237"/>
      <c r="AE139" s="237">
        <f>0</f>
        <v>0</v>
      </c>
      <c r="AF139" s="237"/>
      <c r="AG139" s="237"/>
      <c r="AH139" s="237"/>
      <c r="AI139" s="240"/>
      <c r="AJ139" s="95"/>
      <c r="AK139" s="96">
        <f>SUM(AC139:AI139)</f>
        <v>0</v>
      </c>
      <c r="AL139" s="97">
        <f>IF(C139=2015, AK139/3,AK139)+AJ139</f>
        <v>0</v>
      </c>
    </row>
    <row r="140" spans="1:57" x14ac:dyDescent="0.25">
      <c r="A140" s="11" t="s">
        <v>698</v>
      </c>
      <c r="B140" s="60" t="s">
        <v>232</v>
      </c>
      <c r="C140" s="62">
        <v>2011</v>
      </c>
      <c r="D140" s="1">
        <f>R140+F140+E140</f>
        <v>21</v>
      </c>
      <c r="G140" s="154"/>
      <c r="I140" s="205"/>
      <c r="J140" s="196"/>
      <c r="K140" s="186"/>
      <c r="L140" s="170"/>
      <c r="M140" s="50"/>
      <c r="N140" s="50"/>
      <c r="O140" s="219">
        <f>AA140</f>
        <v>21</v>
      </c>
      <c r="P140" s="120"/>
      <c r="Q140" s="96">
        <f>I140+J140+K140+L140+M140+N140+O140</f>
        <v>21</v>
      </c>
      <c r="R140" s="97">
        <f>IF(C140=2012, Q140/3,Q140)+P140</f>
        <v>21</v>
      </c>
      <c r="S140" s="205"/>
      <c r="T140" s="50">
        <f>18</f>
        <v>18</v>
      </c>
      <c r="U140" s="50">
        <f>45</f>
        <v>45</v>
      </c>
      <c r="V140" s="50"/>
      <c r="W140" s="50"/>
      <c r="X140" s="50"/>
      <c r="Y140" s="120"/>
      <c r="Z140" s="96">
        <f>SUM(T140:X140)</f>
        <v>63</v>
      </c>
      <c r="AA140" s="97">
        <f>IF(C140=2011, Z140/3,Z140)+Y140</f>
        <v>21</v>
      </c>
      <c r="AB140" s="22"/>
      <c r="AC140" s="205"/>
      <c r="AD140" s="205"/>
      <c r="AE140" s="205"/>
      <c r="AF140" s="205"/>
      <c r="AG140" s="205"/>
      <c r="AH140" s="205"/>
      <c r="AI140" s="240"/>
      <c r="AJ140" s="95"/>
      <c r="AK140" s="96"/>
      <c r="AL140" s="97"/>
    </row>
    <row r="141" spans="1:57" x14ac:dyDescent="0.25">
      <c r="A141" s="60" t="s">
        <v>177</v>
      </c>
      <c r="B141" s="65" t="s">
        <v>86</v>
      </c>
      <c r="C141" s="62">
        <v>2009</v>
      </c>
      <c r="D141" s="1">
        <f>R141+F141+E141</f>
        <v>61</v>
      </c>
      <c r="E141" s="233">
        <f>14</f>
        <v>14</v>
      </c>
      <c r="G141" s="120"/>
      <c r="I141" s="205">
        <f>14</f>
        <v>14</v>
      </c>
      <c r="J141" s="196"/>
      <c r="K141" s="186"/>
      <c r="L141" s="170"/>
      <c r="M141" s="50"/>
      <c r="N141" s="50"/>
      <c r="O141" s="219">
        <f>AA141</f>
        <v>33</v>
      </c>
      <c r="P141" s="120"/>
      <c r="Q141" s="96">
        <f>I141+J141+K141+L141+M141+N141+O141</f>
        <v>47</v>
      </c>
      <c r="R141" s="97">
        <f>IF(C141=2012, Q141/3,Q141)+P141</f>
        <v>47</v>
      </c>
      <c r="S141" s="22"/>
      <c r="T141" s="237"/>
      <c r="U141" s="50"/>
      <c r="V141" s="50"/>
      <c r="W141" s="50"/>
      <c r="X141" s="50">
        <f>AL141</f>
        <v>33</v>
      </c>
      <c r="Y141" s="120"/>
      <c r="Z141" s="96">
        <f>SUM(T141:X141)</f>
        <v>33</v>
      </c>
      <c r="AA141" s="97">
        <f>IF(C141=2011, Z141/3,Z141)+Y141</f>
        <v>33</v>
      </c>
      <c r="AB141" s="22"/>
      <c r="AD141" s="13">
        <f>15+9</f>
        <v>24</v>
      </c>
      <c r="AF141" s="13">
        <f>0+9</f>
        <v>9</v>
      </c>
      <c r="AJ141" s="95"/>
      <c r="AK141" s="96">
        <f>SUM(AC141:AI141)</f>
        <v>33</v>
      </c>
      <c r="AL141" s="97">
        <f>IF(C141=2010, AK141/3,AK141)+AJ141</f>
        <v>33</v>
      </c>
    </row>
    <row r="142" spans="1:57" x14ac:dyDescent="0.25">
      <c r="A142" s="11" t="s">
        <v>530</v>
      </c>
      <c r="B142" s="60" t="s">
        <v>7</v>
      </c>
      <c r="C142" s="62">
        <v>2010</v>
      </c>
      <c r="D142" s="1">
        <f>R142+F142+E142</f>
        <v>0.66666666666666663</v>
      </c>
      <c r="G142" s="120"/>
      <c r="I142" s="205"/>
      <c r="J142" s="196"/>
      <c r="K142" s="186"/>
      <c r="L142" s="170"/>
      <c r="M142" s="50"/>
      <c r="N142" s="50"/>
      <c r="O142" s="219">
        <f>AA142</f>
        <v>0.66666666666666663</v>
      </c>
      <c r="P142" s="120"/>
      <c r="Q142" s="96">
        <f>I142+J142+K142+L142+M142+N142+O142</f>
        <v>0.66666666666666663</v>
      </c>
      <c r="R142" s="97">
        <f>IF(C142=2012, Q142/3,Q142)+P142</f>
        <v>0.66666666666666663</v>
      </c>
      <c r="S142" s="22"/>
      <c r="T142" s="237"/>
      <c r="U142" s="50">
        <f>0</f>
        <v>0</v>
      </c>
      <c r="V142" s="50"/>
      <c r="W142" s="50">
        <f>0</f>
        <v>0</v>
      </c>
      <c r="X142" s="50">
        <f>AL142</f>
        <v>0.66666666666666663</v>
      </c>
      <c r="Y142" s="120"/>
      <c r="Z142" s="96">
        <f>SUM(T142:X142)</f>
        <v>0.66666666666666663</v>
      </c>
      <c r="AA142" s="97">
        <f>IF(C142=2011, Z142/3,Z142)+Y142</f>
        <v>0.66666666666666663</v>
      </c>
      <c r="AB142" s="22"/>
      <c r="AC142" s="41"/>
      <c r="AD142" s="41"/>
      <c r="AE142" s="41"/>
      <c r="AF142" s="41"/>
      <c r="AG142" s="41"/>
      <c r="AH142" s="41">
        <f>2</f>
        <v>2</v>
      </c>
      <c r="AJ142" s="95"/>
      <c r="AK142" s="96">
        <f>SUM(AC142:AI142)</f>
        <v>2</v>
      </c>
      <c r="AL142" s="97">
        <f>IF(C142=2010, AK142/3,AK142)+AJ142</f>
        <v>0.66666666666666663</v>
      </c>
    </row>
    <row r="143" spans="1:57" x14ac:dyDescent="0.25">
      <c r="A143" s="71" t="s">
        <v>415</v>
      </c>
      <c r="B143" s="71" t="s">
        <v>111</v>
      </c>
      <c r="C143" s="72">
        <v>2010</v>
      </c>
      <c r="D143" s="1">
        <f>R143+F143+E143</f>
        <v>60</v>
      </c>
      <c r="G143" s="120"/>
      <c r="I143" s="205"/>
      <c r="J143" s="196"/>
      <c r="K143" s="186"/>
      <c r="L143" s="170"/>
      <c r="M143" s="50"/>
      <c r="N143" s="50">
        <f>0</f>
        <v>0</v>
      </c>
      <c r="O143" s="219">
        <f>AA143</f>
        <v>60</v>
      </c>
      <c r="P143" s="120"/>
      <c r="Q143" s="96">
        <f>I143+J143+K143+L143+M143+N143+O143</f>
        <v>60</v>
      </c>
      <c r="R143" s="97">
        <f>IF(C143=2012, Q143/3,Q143)+P143</f>
        <v>60</v>
      </c>
      <c r="S143" s="22"/>
      <c r="T143" s="50">
        <f>8+8</f>
        <v>16</v>
      </c>
      <c r="U143" s="50">
        <f>11+9</f>
        <v>20</v>
      </c>
      <c r="V143" s="50">
        <f>14+5</f>
        <v>19</v>
      </c>
      <c r="W143" s="50"/>
      <c r="X143" s="50">
        <f>AL143</f>
        <v>5</v>
      </c>
      <c r="Y143" s="120"/>
      <c r="Z143" s="96">
        <f>SUM(T143:X143)</f>
        <v>60</v>
      </c>
      <c r="AA143" s="97">
        <f>IF(C143=2011, Z143/3,Z143)+Y143</f>
        <v>60</v>
      </c>
      <c r="AB143" s="22"/>
      <c r="AC143" s="219"/>
      <c r="AD143" s="219"/>
      <c r="AE143" s="219"/>
      <c r="AF143" s="219"/>
      <c r="AG143" s="219">
        <f>0+15</f>
        <v>15</v>
      </c>
      <c r="AH143" s="219"/>
      <c r="AI143" s="36"/>
      <c r="AJ143" s="95"/>
      <c r="AK143" s="96">
        <f>SUM(AC143:AI143)</f>
        <v>15</v>
      </c>
      <c r="AL143" s="97">
        <f>IF(C143=2010, AK143/3,AK143)+AJ143</f>
        <v>5</v>
      </c>
    </row>
    <row r="144" spans="1:57" x14ac:dyDescent="0.25">
      <c r="A144" s="11" t="s">
        <v>693</v>
      </c>
      <c r="B144" s="60" t="s">
        <v>551</v>
      </c>
      <c r="C144" s="62">
        <v>2012</v>
      </c>
      <c r="D144" s="1">
        <f>R144+F144+E144</f>
        <v>0.66666666666666663</v>
      </c>
      <c r="G144" s="154"/>
      <c r="I144" s="205"/>
      <c r="J144" s="196"/>
      <c r="K144" s="186">
        <f>2</f>
        <v>2</v>
      </c>
      <c r="L144" s="170"/>
      <c r="M144" s="50"/>
      <c r="N144" s="50">
        <f>0</f>
        <v>0</v>
      </c>
      <c r="O144" s="219">
        <f>AA144</f>
        <v>0</v>
      </c>
      <c r="P144" s="154"/>
      <c r="Q144" s="96">
        <f>I144+J144+K144+L144+M144+N144+O144</f>
        <v>2</v>
      </c>
      <c r="R144" s="97">
        <f>IF(C144=2012, Q144/3,Q144)+P144</f>
        <v>0.66666666666666663</v>
      </c>
      <c r="S144" s="238"/>
      <c r="T144" s="238"/>
      <c r="U144" s="50">
        <f>0</f>
        <v>0</v>
      </c>
      <c r="V144" s="50"/>
      <c r="W144" s="50"/>
      <c r="X144" s="50"/>
      <c r="Y144" s="120"/>
      <c r="Z144" s="96">
        <f>SUM(T144:X144)</f>
        <v>0</v>
      </c>
      <c r="AA144" s="97">
        <f>IF(C144=2011, Z144/3,Z144)+Y144</f>
        <v>0</v>
      </c>
      <c r="AB144" s="22"/>
      <c r="AC144" s="153"/>
      <c r="AD144" s="153"/>
      <c r="AE144" s="153"/>
      <c r="AF144" s="153"/>
      <c r="AG144" s="153"/>
      <c r="AH144" s="153"/>
      <c r="AJ144" s="95"/>
      <c r="AK144" s="96">
        <f>SUM(AC144:AI144)</f>
        <v>0</v>
      </c>
      <c r="AL144" s="97">
        <f>IF(C144=2015, AK144/3,AK144)+AJ144</f>
        <v>0</v>
      </c>
    </row>
    <row r="145" spans="1:38" x14ac:dyDescent="0.25">
      <c r="A145" s="11" t="s">
        <v>992</v>
      </c>
      <c r="B145" s="60" t="s">
        <v>23</v>
      </c>
      <c r="C145" s="62">
        <v>2010</v>
      </c>
      <c r="D145" s="1">
        <f>R145+F145+E145</f>
        <v>280</v>
      </c>
      <c r="G145" s="154"/>
      <c r="I145" s="205"/>
      <c r="J145" s="196">
        <f>18+3</f>
        <v>21</v>
      </c>
      <c r="K145" s="186"/>
      <c r="L145" s="170"/>
      <c r="M145" s="50"/>
      <c r="N145" s="50"/>
      <c r="O145" s="219">
        <f>AA145</f>
        <v>259</v>
      </c>
      <c r="P145" s="120"/>
      <c r="Q145" s="96">
        <f>I145+J145+K145+L145+M145+N145+O145</f>
        <v>280</v>
      </c>
      <c r="R145" s="97">
        <f>IF(C145=2012, Q145/3,Q145)+P145</f>
        <v>280</v>
      </c>
      <c r="S145" s="205"/>
      <c r="T145" s="50"/>
      <c r="U145" s="50"/>
      <c r="V145" s="50">
        <f>84+57</f>
        <v>141</v>
      </c>
      <c r="W145" s="50"/>
      <c r="X145" s="50">
        <f>118</f>
        <v>118</v>
      </c>
      <c r="Y145" s="120"/>
      <c r="Z145" s="96">
        <f>SUM(T145:X145)</f>
        <v>259</v>
      </c>
      <c r="AA145" s="97">
        <f>IF(C145=2011, Z145/3,Z145)+Y145</f>
        <v>259</v>
      </c>
      <c r="AB145" s="22"/>
      <c r="AC145" s="237"/>
      <c r="AD145" s="237"/>
      <c r="AE145" s="237"/>
      <c r="AF145" s="237"/>
      <c r="AG145" s="237"/>
      <c r="AH145" s="237"/>
      <c r="AI145" s="240"/>
      <c r="AJ145" s="95"/>
      <c r="AK145" s="96">
        <f>SUM(AC145:AI145)</f>
        <v>0</v>
      </c>
      <c r="AL145" s="97">
        <f>IF(C145=2010, AK145/3,AK145)+AJ145</f>
        <v>0</v>
      </c>
    </row>
    <row r="146" spans="1:38" x14ac:dyDescent="0.25">
      <c r="A146" s="60" t="s">
        <v>439</v>
      </c>
      <c r="B146" s="65" t="s">
        <v>111</v>
      </c>
      <c r="C146" s="62">
        <v>2009</v>
      </c>
      <c r="D146" s="1">
        <f>R146+F146+E146</f>
        <v>42</v>
      </c>
      <c r="G146" s="120"/>
      <c r="I146" s="205"/>
      <c r="J146" s="196"/>
      <c r="K146" s="186"/>
      <c r="L146" s="170"/>
      <c r="M146" s="50"/>
      <c r="O146" s="219">
        <f>AA146</f>
        <v>42</v>
      </c>
      <c r="P146" s="120"/>
      <c r="Q146" s="96">
        <f>I146+J146+K146+L146+M146+N146+O146</f>
        <v>42</v>
      </c>
      <c r="R146" s="97">
        <f>IF(C146=2012, Q146/3,Q146)+P146</f>
        <v>42</v>
      </c>
      <c r="S146" s="22"/>
      <c r="T146" s="50"/>
      <c r="U146" s="50"/>
      <c r="V146" s="50">
        <f>34</f>
        <v>34</v>
      </c>
      <c r="W146" s="50"/>
      <c r="X146" s="50">
        <f>AL146</f>
        <v>8</v>
      </c>
      <c r="Y146" s="120"/>
      <c r="Z146" s="96">
        <f>SUM(T146:X146)</f>
        <v>42</v>
      </c>
      <c r="AA146" s="97">
        <f>IF(C146=2011, Z146/3,Z146)+Y146</f>
        <v>42</v>
      </c>
      <c r="AB146" s="22"/>
      <c r="AG146" s="13">
        <f>5</f>
        <v>5</v>
      </c>
      <c r="AH146" s="13">
        <f>3</f>
        <v>3</v>
      </c>
      <c r="AJ146" s="95"/>
      <c r="AK146" s="96">
        <f>SUM(AC146:AI146)</f>
        <v>8</v>
      </c>
      <c r="AL146" s="97">
        <f>IF(C146=2010, AK146/3,AK146)+AJ146</f>
        <v>8</v>
      </c>
    </row>
    <row r="147" spans="1:38" x14ac:dyDescent="0.25">
      <c r="A147" s="71" t="s">
        <v>622</v>
      </c>
      <c r="B147" s="71" t="s">
        <v>64</v>
      </c>
      <c r="C147" s="72">
        <v>2012</v>
      </c>
      <c r="D147" s="1">
        <f>R147+F147+E147</f>
        <v>136</v>
      </c>
      <c r="E147" s="237"/>
      <c r="F147" s="237"/>
      <c r="G147" s="154"/>
      <c r="H147" s="237"/>
      <c r="I147" s="205"/>
      <c r="J147" s="196">
        <f>60+9</f>
        <v>69</v>
      </c>
      <c r="K147" s="186"/>
      <c r="L147" s="170"/>
      <c r="M147" s="50">
        <f>63+9+3</f>
        <v>75</v>
      </c>
      <c r="N147" s="50">
        <f>51</f>
        <v>51</v>
      </c>
      <c r="O147" s="219">
        <f>AA147</f>
        <v>213</v>
      </c>
      <c r="P147" s="154"/>
      <c r="Q147" s="96">
        <f>I147+J147+K147+L147+M147+N147+O147</f>
        <v>408</v>
      </c>
      <c r="R147" s="97">
        <f>IF(C147=2012, Q147/3,Q147)+P147</f>
        <v>136</v>
      </c>
      <c r="S147" s="238"/>
      <c r="T147" s="238"/>
      <c r="U147" s="50">
        <f>30+48</f>
        <v>78</v>
      </c>
      <c r="V147" s="50">
        <f>90+45</f>
        <v>135</v>
      </c>
      <c r="W147" s="50"/>
      <c r="X147" s="50"/>
      <c r="Y147" s="120"/>
      <c r="Z147" s="96">
        <f>SUM(T147:X147)</f>
        <v>213</v>
      </c>
      <c r="AA147" s="97">
        <f>IF(C147=2011, Z147/3,Z147)+Y147</f>
        <v>213</v>
      </c>
      <c r="AB147" s="22"/>
      <c r="AC147" s="237"/>
      <c r="AD147" s="237"/>
      <c r="AE147" s="237"/>
      <c r="AF147" s="237"/>
      <c r="AG147" s="237"/>
      <c r="AH147" s="237"/>
      <c r="AI147" s="240"/>
      <c r="AJ147" s="95"/>
      <c r="AK147" s="96">
        <f>SUM(AC147:AI147)</f>
        <v>0</v>
      </c>
      <c r="AL147" s="97">
        <f>IF(C147=2015, AK147/3,AK147)+AJ147</f>
        <v>0</v>
      </c>
    </row>
    <row r="148" spans="1:38" x14ac:dyDescent="0.25">
      <c r="A148" s="60" t="s">
        <v>201</v>
      </c>
      <c r="B148" s="65" t="s">
        <v>87</v>
      </c>
      <c r="C148" s="62"/>
      <c r="D148" s="1">
        <f>R148+F148+E148</f>
        <v>18</v>
      </c>
      <c r="G148" s="154"/>
      <c r="I148" s="205"/>
      <c r="J148" s="196"/>
      <c r="K148" s="186"/>
      <c r="L148" s="170"/>
      <c r="M148" s="50"/>
      <c r="N148" s="50"/>
      <c r="O148" s="219">
        <f>AA148</f>
        <v>18</v>
      </c>
      <c r="P148" s="120"/>
      <c r="Q148" s="96">
        <f>I148+J148+K148+L148+M148+N148+O148</f>
        <v>18</v>
      </c>
      <c r="R148" s="97">
        <f>IF(C148=2012, Q148/3,Q148)+P148</f>
        <v>18</v>
      </c>
      <c r="S148" s="22"/>
      <c r="T148" s="219"/>
      <c r="U148" s="50"/>
      <c r="V148" s="50"/>
      <c r="W148" s="50"/>
      <c r="X148" s="50">
        <f>AL148</f>
        <v>18</v>
      </c>
      <c r="Y148" s="120"/>
      <c r="Z148" s="96">
        <f>SUM(T148:X148)</f>
        <v>18</v>
      </c>
      <c r="AA148" s="97">
        <f>IF(C148=2011, Z148/3,Z148)+Y148</f>
        <v>18</v>
      </c>
      <c r="AB148" s="22"/>
      <c r="AD148" s="13">
        <f>18</f>
        <v>18</v>
      </c>
      <c r="AJ148" s="95"/>
      <c r="AK148" s="96">
        <f>SUM(AC148:AI148)</f>
        <v>18</v>
      </c>
      <c r="AL148" s="97">
        <f>IF(C148=2010, AK148/3,AK148)+AJ148</f>
        <v>18</v>
      </c>
    </row>
    <row r="149" spans="1:38" x14ac:dyDescent="0.25">
      <c r="A149" s="71" t="s">
        <v>240</v>
      </c>
      <c r="B149" s="71" t="s">
        <v>232</v>
      </c>
      <c r="C149" s="72">
        <v>2011</v>
      </c>
      <c r="D149" s="1">
        <f>R149+F149+E149</f>
        <v>50.333333333333336</v>
      </c>
      <c r="G149" s="154"/>
      <c r="I149" s="205"/>
      <c r="J149" s="196"/>
      <c r="K149" s="186"/>
      <c r="L149" s="170"/>
      <c r="M149" s="50"/>
      <c r="N149" s="50"/>
      <c r="O149" s="219">
        <f>AA149</f>
        <v>50.333333333333336</v>
      </c>
      <c r="P149" s="120"/>
      <c r="Q149" s="96">
        <f>I149+J149+K149+L149+M149+N149+O149</f>
        <v>50.333333333333336</v>
      </c>
      <c r="R149" s="97">
        <f>IF(C149=2012, Q149/3,Q149)+P149</f>
        <v>50.333333333333336</v>
      </c>
      <c r="S149" s="205"/>
      <c r="T149" s="50"/>
      <c r="U149" s="50"/>
      <c r="V149" s="50">
        <f>57</f>
        <v>57</v>
      </c>
      <c r="W149" s="50">
        <f>46</f>
        <v>46</v>
      </c>
      <c r="X149" s="50">
        <f>AL149</f>
        <v>48</v>
      </c>
      <c r="Y149" s="120"/>
      <c r="Z149" s="96">
        <f>SUM(T149:X149)</f>
        <v>151</v>
      </c>
      <c r="AA149" s="97">
        <f>IF(C149=2011, Z149/3,Z149)+Y149</f>
        <v>50.333333333333336</v>
      </c>
      <c r="AB149" s="22"/>
      <c r="AC149" s="237"/>
      <c r="AD149" s="237"/>
      <c r="AE149" s="237">
        <f>48</f>
        <v>48</v>
      </c>
      <c r="AF149" s="237"/>
      <c r="AG149" s="237"/>
      <c r="AH149" s="237"/>
      <c r="AI149" s="240"/>
      <c r="AJ149" s="95"/>
      <c r="AK149" s="96">
        <f>SUM(AC149:AI149)</f>
        <v>48</v>
      </c>
      <c r="AL149" s="97">
        <f>IF(C149=2015, AK149/3,AK149)+AJ149</f>
        <v>48</v>
      </c>
    </row>
    <row r="150" spans="1:38" x14ac:dyDescent="0.25">
      <c r="A150" s="71" t="s">
        <v>696</v>
      </c>
      <c r="B150" s="71" t="s">
        <v>551</v>
      </c>
      <c r="C150" s="72">
        <v>2012</v>
      </c>
      <c r="D150" s="1">
        <f>R150+F150+E150</f>
        <v>0</v>
      </c>
      <c r="G150" s="120"/>
      <c r="I150" s="205"/>
      <c r="J150" s="196"/>
      <c r="K150" s="186"/>
      <c r="L150" s="170"/>
      <c r="M150" s="50"/>
      <c r="N150" s="50"/>
      <c r="O150" s="219">
        <f>AA150</f>
        <v>0</v>
      </c>
      <c r="P150" s="154"/>
      <c r="Q150" s="96">
        <f>I150+J150+K150+L150+M150+N150+O150</f>
        <v>0</v>
      </c>
      <c r="R150" s="97">
        <f>IF(C150=2012, Q150/3,Q150)+P150</f>
        <v>0</v>
      </c>
      <c r="S150" s="238"/>
      <c r="T150" s="238"/>
      <c r="U150" s="50">
        <f>0</f>
        <v>0</v>
      </c>
      <c r="V150" s="50"/>
      <c r="W150" s="50"/>
      <c r="X150" s="50"/>
      <c r="Y150" s="120"/>
      <c r="Z150" s="96">
        <f>SUM(T150:X150)</f>
        <v>0</v>
      </c>
      <c r="AA150" s="97">
        <f>IF(C150=2011, Z150/3,Z150)+Y150</f>
        <v>0</v>
      </c>
      <c r="AB150" s="22"/>
      <c r="AC150" s="219"/>
      <c r="AD150" s="219"/>
      <c r="AE150" s="219"/>
      <c r="AF150" s="219"/>
      <c r="AG150" s="219"/>
      <c r="AH150" s="219"/>
      <c r="AI150" s="240"/>
      <c r="AJ150" s="95"/>
      <c r="AK150" s="96">
        <f>SUM(AC150:AI150)</f>
        <v>0</v>
      </c>
      <c r="AL150" s="97">
        <f>IF(C150=2015, AK150/3,AK150)+AJ150</f>
        <v>0</v>
      </c>
    </row>
    <row r="151" spans="1:38" x14ac:dyDescent="0.25">
      <c r="A151" s="71" t="s">
        <v>558</v>
      </c>
      <c r="B151" s="71" t="s">
        <v>551</v>
      </c>
      <c r="C151" s="72">
        <v>2012</v>
      </c>
      <c r="D151" s="1">
        <f>R151+F151+E151</f>
        <v>49.333333333333336</v>
      </c>
      <c r="E151" s="237"/>
      <c r="F151" s="237"/>
      <c r="G151" s="120"/>
      <c r="H151" s="237"/>
      <c r="I151" s="205"/>
      <c r="J151" s="196"/>
      <c r="K151" s="186"/>
      <c r="L151" s="170"/>
      <c r="M151" s="50">
        <f>72+6</f>
        <v>78</v>
      </c>
      <c r="N151" s="50">
        <f>27</f>
        <v>27</v>
      </c>
      <c r="O151" s="219">
        <f>AA151</f>
        <v>43</v>
      </c>
      <c r="P151" s="154"/>
      <c r="Q151" s="96">
        <f>I151+J151+K151+L151+M151+N151+O151</f>
        <v>148</v>
      </c>
      <c r="R151" s="97">
        <f>IF(C151=2012, Q151/3,Q151)+P151</f>
        <v>49.333333333333336</v>
      </c>
      <c r="S151" s="238"/>
      <c r="T151" s="238"/>
      <c r="U151" s="50">
        <f>22</f>
        <v>22</v>
      </c>
      <c r="V151" s="50"/>
      <c r="W151" s="50">
        <f>18+3</f>
        <v>21</v>
      </c>
      <c r="X151" s="50"/>
      <c r="Y151" s="120"/>
      <c r="Z151" s="96">
        <f>SUM(T151:X151)</f>
        <v>43</v>
      </c>
      <c r="AA151" s="97">
        <f>IF(C151=2011, Z151/3,Z151)+Y151</f>
        <v>43</v>
      </c>
      <c r="AB151" s="22"/>
      <c r="AC151" s="237"/>
      <c r="AD151" s="237"/>
      <c r="AE151" s="237"/>
      <c r="AF151" s="237"/>
      <c r="AG151" s="237"/>
      <c r="AH151" s="237"/>
      <c r="AI151" s="240"/>
      <c r="AJ151" s="95"/>
      <c r="AK151" s="96">
        <f>SUM(AC151:AI151)</f>
        <v>0</v>
      </c>
      <c r="AL151" s="97">
        <f>IF(C151=2015, AK151/3,AK151)+AJ151</f>
        <v>0</v>
      </c>
    </row>
    <row r="152" spans="1:38" x14ac:dyDescent="0.25">
      <c r="A152" s="71" t="s">
        <v>607</v>
      </c>
      <c r="B152" s="71" t="s">
        <v>232</v>
      </c>
      <c r="C152" s="72">
        <v>2011</v>
      </c>
      <c r="D152" s="1">
        <f>R152+F152+E152</f>
        <v>27.333333333333332</v>
      </c>
      <c r="G152" s="154"/>
      <c r="I152" s="205"/>
      <c r="J152" s="196"/>
      <c r="K152" s="186"/>
      <c r="L152" s="170"/>
      <c r="M152" s="170"/>
      <c r="N152" s="174"/>
      <c r="O152" s="219">
        <f>AA152</f>
        <v>27.333333333333332</v>
      </c>
      <c r="P152" s="120"/>
      <c r="Q152" s="96">
        <f>I152+J152+K152+L152+M152+N152+O152</f>
        <v>27.333333333333332</v>
      </c>
      <c r="R152" s="97">
        <f>IF(C152=2012, Q152/3,Q152)+P152</f>
        <v>27.333333333333332</v>
      </c>
      <c r="S152" s="237"/>
      <c r="T152" s="237">
        <f>18</f>
        <v>18</v>
      </c>
      <c r="U152" s="50">
        <f>30</f>
        <v>30</v>
      </c>
      <c r="V152" s="50">
        <f>34</f>
        <v>34</v>
      </c>
      <c r="W152" s="50"/>
      <c r="X152" s="50"/>
      <c r="Y152" s="120"/>
      <c r="Z152" s="96">
        <f>SUM(T152:X152)</f>
        <v>82</v>
      </c>
      <c r="AA152" s="97">
        <f>IF(C152=2011, Z152/3,Z152)+Y152</f>
        <v>27.333333333333332</v>
      </c>
      <c r="AB152" s="22"/>
      <c r="AC152" s="237"/>
      <c r="AD152" s="237"/>
      <c r="AE152" s="237"/>
      <c r="AF152" s="237"/>
      <c r="AG152" s="237"/>
      <c r="AH152" s="237"/>
      <c r="AI152" s="240"/>
      <c r="AJ152" s="95"/>
      <c r="AK152" s="96"/>
      <c r="AL152" s="97"/>
    </row>
    <row r="153" spans="1:38" x14ac:dyDescent="0.25">
      <c r="A153" s="71" t="s">
        <v>789</v>
      </c>
      <c r="B153" s="71" t="s">
        <v>63</v>
      </c>
      <c r="C153" s="72">
        <v>2010</v>
      </c>
      <c r="D153" s="1">
        <f>R153+F153+E153</f>
        <v>35</v>
      </c>
      <c r="G153" s="120"/>
      <c r="I153" s="205"/>
      <c r="J153" s="196"/>
      <c r="K153" s="186"/>
      <c r="L153" s="170">
        <f>10+3</f>
        <v>13</v>
      </c>
      <c r="M153" s="50">
        <f>12+1</f>
        <v>13</v>
      </c>
      <c r="N153" s="50">
        <f>8+1</f>
        <v>9</v>
      </c>
      <c r="O153" s="219">
        <f>AA153</f>
        <v>0</v>
      </c>
      <c r="P153" s="120"/>
      <c r="Q153" s="96">
        <f>I153+J153+K153+L153+M153+N153+O153</f>
        <v>35</v>
      </c>
      <c r="R153" s="97">
        <f>IF(C153=2012, Q153/3,Q153)+P153</f>
        <v>35</v>
      </c>
      <c r="S153" s="205"/>
      <c r="T153" s="50"/>
      <c r="U153" s="50"/>
      <c r="V153" s="50"/>
      <c r="W153" s="50"/>
      <c r="X153" s="50"/>
      <c r="Y153" s="120"/>
      <c r="Z153" s="96">
        <f>SUM(T153:X153)</f>
        <v>0</v>
      </c>
      <c r="AA153" s="97"/>
      <c r="AB153" s="22"/>
      <c r="AC153" s="205"/>
      <c r="AD153" s="205"/>
      <c r="AE153" s="205"/>
      <c r="AF153" s="205"/>
      <c r="AG153" s="205"/>
      <c r="AH153" s="205"/>
      <c r="AI153" s="36"/>
      <c r="AJ153" s="95"/>
      <c r="AK153" s="96"/>
      <c r="AL153" s="97"/>
    </row>
    <row r="154" spans="1:38" x14ac:dyDescent="0.25">
      <c r="A154" s="11" t="s">
        <v>586</v>
      </c>
      <c r="B154" s="60" t="s">
        <v>587</v>
      </c>
      <c r="C154" s="62">
        <v>2011</v>
      </c>
      <c r="D154" s="1">
        <f>R154+F154+E154</f>
        <v>4</v>
      </c>
      <c r="G154" s="154"/>
      <c r="I154" s="205"/>
      <c r="J154" s="196"/>
      <c r="K154" s="186"/>
      <c r="L154" s="170"/>
      <c r="M154" s="50"/>
      <c r="N154" s="50">
        <f>3</f>
        <v>3</v>
      </c>
      <c r="O154" s="219">
        <f>AA154</f>
        <v>1</v>
      </c>
      <c r="P154" s="120"/>
      <c r="Q154" s="96">
        <f>I154+J154+K154+L154+M154+N154+O154</f>
        <v>4</v>
      </c>
      <c r="R154" s="97">
        <f>IF(C154=2012, Q154/3,Q154)+P154</f>
        <v>4</v>
      </c>
      <c r="S154" s="237"/>
      <c r="T154" s="237"/>
      <c r="U154" s="50"/>
      <c r="V154" s="50"/>
      <c r="W154" s="50">
        <f>3</f>
        <v>3</v>
      </c>
      <c r="X154" s="50"/>
      <c r="Y154" s="120"/>
      <c r="Z154" s="96">
        <f>SUM(T154:X154)</f>
        <v>3</v>
      </c>
      <c r="AA154" s="97">
        <f>IF(C154=2011, Z154/3,Z154)+Y154</f>
        <v>1</v>
      </c>
      <c r="AB154" s="22"/>
      <c r="AC154" s="41"/>
      <c r="AD154" s="41"/>
      <c r="AE154" s="41"/>
      <c r="AF154" s="41"/>
      <c r="AG154" s="41"/>
      <c r="AH154" s="41"/>
      <c r="AJ154" s="95"/>
      <c r="AK154" s="96"/>
      <c r="AL154" s="97"/>
    </row>
    <row r="155" spans="1:38" x14ac:dyDescent="0.25">
      <c r="A155" s="60" t="s">
        <v>516</v>
      </c>
      <c r="B155" s="65" t="s">
        <v>86</v>
      </c>
      <c r="C155" s="62">
        <v>2009</v>
      </c>
      <c r="D155" s="1">
        <f>R155+F155+E155</f>
        <v>39</v>
      </c>
      <c r="G155" s="120"/>
      <c r="I155" s="205"/>
      <c r="J155" s="196"/>
      <c r="K155" s="186"/>
      <c r="L155" s="170"/>
      <c r="M155" s="50"/>
      <c r="N155" s="191"/>
      <c r="O155" s="219">
        <f>AA155</f>
        <v>39</v>
      </c>
      <c r="P155" s="120"/>
      <c r="Q155" s="96">
        <f>I155+J155+K155+L155+M155+N155+O155</f>
        <v>39</v>
      </c>
      <c r="R155" s="97">
        <f>IF(C155=2012, Q155/3,Q155)+P155</f>
        <v>39</v>
      </c>
      <c r="S155" s="22"/>
      <c r="T155" s="219"/>
      <c r="U155" s="50"/>
      <c r="V155" s="50"/>
      <c r="W155" s="50"/>
      <c r="X155" s="50">
        <f>AL155</f>
        <v>39</v>
      </c>
      <c r="Y155" s="120"/>
      <c r="Z155" s="96">
        <f>SUM(T155:X155)</f>
        <v>39</v>
      </c>
      <c r="AA155" s="97">
        <f>IF(C155=2011, Z155/3,Z155)+Y155</f>
        <v>39</v>
      </c>
      <c r="AB155" s="22"/>
      <c r="AH155" s="13">
        <f>36</f>
        <v>36</v>
      </c>
      <c r="AJ155" s="95">
        <f>3</f>
        <v>3</v>
      </c>
      <c r="AK155" s="96">
        <f>SUM(AC155:AI155)</f>
        <v>36</v>
      </c>
      <c r="AL155" s="97">
        <f>IF(C155=2010, AK155/3,AK155)+AJ155</f>
        <v>39</v>
      </c>
    </row>
    <row r="156" spans="1:38" x14ac:dyDescent="0.25">
      <c r="A156" s="11" t="s">
        <v>116</v>
      </c>
      <c r="B156" s="60" t="s">
        <v>64</v>
      </c>
      <c r="C156" s="62">
        <v>2010</v>
      </c>
      <c r="D156" s="1">
        <f>R156+F156+E156</f>
        <v>12.333333333333334</v>
      </c>
      <c r="E156" s="156"/>
      <c r="F156" s="156"/>
      <c r="G156" s="122"/>
      <c r="H156" s="156"/>
      <c r="I156" s="205"/>
      <c r="J156" s="196"/>
      <c r="K156" s="186"/>
      <c r="L156" s="170"/>
      <c r="M156" s="50"/>
      <c r="N156" s="50"/>
      <c r="O156" s="219">
        <f>AA156</f>
        <v>12.333333333333334</v>
      </c>
      <c r="P156" s="120"/>
      <c r="Q156" s="96">
        <f>I156+J156+K156+L156+M156+N156+O156</f>
        <v>12.333333333333334</v>
      </c>
      <c r="R156" s="97">
        <f>IF(C156=2012, Q156/3,Q156)+P156</f>
        <v>12.333333333333334</v>
      </c>
      <c r="S156" s="22"/>
      <c r="T156" s="219"/>
      <c r="U156" s="50"/>
      <c r="V156" s="50"/>
      <c r="W156" s="50"/>
      <c r="X156" s="50">
        <f>AL156</f>
        <v>12.333333333333334</v>
      </c>
      <c r="Y156" s="120"/>
      <c r="Z156" s="96">
        <f>SUM(T156:X156)</f>
        <v>12.333333333333334</v>
      </c>
      <c r="AA156" s="97">
        <f>IF(C156=2011, Z156/3,Z156)+Y156</f>
        <v>12.333333333333334</v>
      </c>
      <c r="AB156" s="22"/>
      <c r="AC156" s="41"/>
      <c r="AD156" s="41">
        <v>37</v>
      </c>
      <c r="AE156" s="41"/>
      <c r="AF156" s="41"/>
      <c r="AG156" s="41"/>
      <c r="AH156" s="41"/>
      <c r="AJ156" s="95"/>
      <c r="AK156" s="96">
        <f>SUM(AC156:AI156)</f>
        <v>37</v>
      </c>
      <c r="AL156" s="97">
        <f>IF(C156=2010, AK156/3,AK156)+AJ156</f>
        <v>12.333333333333334</v>
      </c>
    </row>
    <row r="157" spans="1:38" x14ac:dyDescent="0.25">
      <c r="A157" s="60" t="s">
        <v>508</v>
      </c>
      <c r="B157" s="65" t="s">
        <v>232</v>
      </c>
      <c r="C157" s="62">
        <v>2009</v>
      </c>
      <c r="D157" s="1">
        <f>R157+F157+E157</f>
        <v>0</v>
      </c>
      <c r="G157" s="120"/>
      <c r="I157" s="205"/>
      <c r="J157" s="196"/>
      <c r="K157" s="186"/>
      <c r="L157" s="170"/>
      <c r="M157" s="50"/>
      <c r="N157" s="50"/>
      <c r="O157" s="219">
        <f>AA157</f>
        <v>0</v>
      </c>
      <c r="P157" s="120"/>
      <c r="Q157" s="96">
        <f>I157+J157+K157+L157+M157+N157+O157</f>
        <v>0</v>
      </c>
      <c r="R157" s="97">
        <f>IF(C157=2012, Q157/3,Q157)+P157</f>
        <v>0</v>
      </c>
      <c r="S157" s="22"/>
      <c r="T157" s="50"/>
      <c r="U157" s="50"/>
      <c r="V157" s="50"/>
      <c r="W157" s="50"/>
      <c r="X157" s="50">
        <f>AL157</f>
        <v>0</v>
      </c>
      <c r="Y157" s="120"/>
      <c r="Z157" s="96">
        <f>SUM(T157:X157)</f>
        <v>0</v>
      </c>
      <c r="AA157" s="97">
        <f>IF(C157=2011, Z157/3,Z157)+Y157</f>
        <v>0</v>
      </c>
      <c r="AB157" s="22"/>
      <c r="AH157" s="13">
        <f>0</f>
        <v>0</v>
      </c>
      <c r="AJ157" s="95"/>
      <c r="AK157" s="96">
        <f>SUM(AC157:AI157)</f>
        <v>0</v>
      </c>
      <c r="AL157" s="97">
        <f>IF(C157=2010, AK157/3,AK157)+AJ157</f>
        <v>0</v>
      </c>
    </row>
    <row r="158" spans="1:38" x14ac:dyDescent="0.25">
      <c r="A158" s="11" t="s">
        <v>572</v>
      </c>
      <c r="B158" s="71" t="s">
        <v>64</v>
      </c>
      <c r="C158" s="62">
        <v>2011</v>
      </c>
      <c r="D158" s="1">
        <f>R158+F158+E158</f>
        <v>54</v>
      </c>
      <c r="G158" s="120"/>
      <c r="I158" s="205"/>
      <c r="J158" s="196">
        <f>0</f>
        <v>0</v>
      </c>
      <c r="K158" s="186"/>
      <c r="L158" s="170"/>
      <c r="M158" s="50">
        <f>0+18</f>
        <v>18</v>
      </c>
      <c r="N158" s="50">
        <f>0+6</f>
        <v>6</v>
      </c>
      <c r="O158" s="219">
        <f>AA158</f>
        <v>30</v>
      </c>
      <c r="P158" s="120"/>
      <c r="Q158" s="96">
        <f>I158+J158+K158+L158+M158+N158+O158</f>
        <v>54</v>
      </c>
      <c r="R158" s="97">
        <f>IF(C158=2012, Q158/3,Q158)+P158</f>
        <v>54</v>
      </c>
      <c r="S158" s="237"/>
      <c r="T158" s="219"/>
      <c r="U158" s="50"/>
      <c r="V158" s="50">
        <f>90</f>
        <v>90</v>
      </c>
      <c r="W158" s="50">
        <f>0</f>
        <v>0</v>
      </c>
      <c r="X158" s="50"/>
      <c r="Y158" s="120"/>
      <c r="Z158" s="96">
        <f>SUM(T158:X158)</f>
        <v>90</v>
      </c>
      <c r="AA158" s="97">
        <f>IF(C158=2011, Z158/3,Z158)+Y158</f>
        <v>30</v>
      </c>
      <c r="AB158" s="22"/>
      <c r="AC158" s="41"/>
      <c r="AD158" s="41"/>
      <c r="AE158" s="41"/>
      <c r="AF158" s="41"/>
      <c r="AG158" s="41"/>
      <c r="AH158" s="41"/>
      <c r="AJ158" s="95"/>
      <c r="AK158" s="96"/>
      <c r="AL158" s="97"/>
    </row>
    <row r="159" spans="1:38" x14ac:dyDescent="0.25">
      <c r="A159" s="51" t="s">
        <v>24</v>
      </c>
      <c r="B159" s="84" t="s">
        <v>23</v>
      </c>
      <c r="C159" s="52">
        <v>2009</v>
      </c>
      <c r="D159" s="1">
        <f>R159+F159+E159</f>
        <v>119.33333333333334</v>
      </c>
      <c r="E159" s="237"/>
      <c r="F159" s="237"/>
      <c r="G159" s="154"/>
      <c r="H159" s="237"/>
      <c r="I159" s="205"/>
      <c r="J159" s="196">
        <f>15</f>
        <v>15</v>
      </c>
      <c r="K159" s="186"/>
      <c r="L159" s="170"/>
      <c r="M159" s="50"/>
      <c r="N159" s="205"/>
      <c r="O159" s="219">
        <f>AA159</f>
        <v>104.33333333333334</v>
      </c>
      <c r="P159" s="120"/>
      <c r="Q159" s="96">
        <f>I159+J159+K159+L159+M159+N159+O159</f>
        <v>119.33333333333334</v>
      </c>
      <c r="R159" s="97">
        <f>IF(C159=2012, Q159/3,Q159)+P159</f>
        <v>119.33333333333334</v>
      </c>
      <c r="S159" s="22"/>
      <c r="T159" s="237"/>
      <c r="U159" s="50"/>
      <c r="V159" s="50">
        <f>36</f>
        <v>36</v>
      </c>
      <c r="W159" s="50"/>
      <c r="X159" s="50">
        <f>AL159</f>
        <v>68.333333333333343</v>
      </c>
      <c r="Y159" s="120"/>
      <c r="Z159" s="96">
        <f>SUM(T159:X159)</f>
        <v>104.33333333333334</v>
      </c>
      <c r="AA159" s="97">
        <f>IF(C159=2011, Z159/3,Z159)+Y159</f>
        <v>104.33333333333334</v>
      </c>
      <c r="AB159" s="22"/>
      <c r="AC159" s="205">
        <f>12+3</f>
        <v>15</v>
      </c>
      <c r="AD159" s="205"/>
      <c r="AE159" s="205"/>
      <c r="AF159" s="205"/>
      <c r="AG159" s="205"/>
      <c r="AH159" s="205"/>
      <c r="AI159" s="237">
        <v>53.333333333333336</v>
      </c>
      <c r="AJ159" s="95"/>
      <c r="AK159" s="96">
        <f>SUM(AC159:AI159)</f>
        <v>68.333333333333343</v>
      </c>
      <c r="AL159" s="97">
        <f>IF(C159=2010, AK159/3,AK159)+AJ159</f>
        <v>68.333333333333343</v>
      </c>
    </row>
    <row r="160" spans="1:38" x14ac:dyDescent="0.25">
      <c r="A160" s="11" t="s">
        <v>144</v>
      </c>
      <c r="B160" s="60" t="s">
        <v>86</v>
      </c>
      <c r="C160" s="62">
        <v>2010</v>
      </c>
      <c r="D160" s="1">
        <f>R160+F160+E160</f>
        <v>9.3333333333333339</v>
      </c>
      <c r="E160" s="156"/>
      <c r="F160" s="156"/>
      <c r="G160" s="122"/>
      <c r="H160" s="156"/>
      <c r="I160" s="205"/>
      <c r="J160" s="196"/>
      <c r="K160" s="186"/>
      <c r="L160" s="170"/>
      <c r="M160" s="50"/>
      <c r="N160" s="50"/>
      <c r="O160" s="219">
        <f>AA160</f>
        <v>9.3333333333333339</v>
      </c>
      <c r="P160" s="120"/>
      <c r="Q160" s="96">
        <f>I160+J160+K160+L160+M160+N160+O160</f>
        <v>9.3333333333333339</v>
      </c>
      <c r="R160" s="97">
        <f>IF(C160=2012, Q160/3,Q160)+P160</f>
        <v>9.3333333333333339</v>
      </c>
      <c r="S160" s="22"/>
      <c r="T160" s="237"/>
      <c r="U160" s="50"/>
      <c r="V160" s="50"/>
      <c r="W160" s="50"/>
      <c r="X160" s="50">
        <f>AL160</f>
        <v>9.3333333333333339</v>
      </c>
      <c r="Y160" s="120"/>
      <c r="Z160" s="96">
        <f>SUM(T160:X160)</f>
        <v>9.3333333333333339</v>
      </c>
      <c r="AA160" s="97">
        <f>IF(C160=2011, Z160/3,Z160)+Y160</f>
        <v>9.3333333333333339</v>
      </c>
      <c r="AB160" s="22"/>
      <c r="AC160" s="41"/>
      <c r="AD160" s="41">
        <v>0</v>
      </c>
      <c r="AE160" s="41"/>
      <c r="AF160" s="41">
        <f>28</f>
        <v>28</v>
      </c>
      <c r="AG160" s="41"/>
      <c r="AH160" s="41"/>
      <c r="AJ160" s="95"/>
      <c r="AK160" s="96">
        <f>SUM(AC160:AI160)</f>
        <v>28</v>
      </c>
      <c r="AL160" s="97">
        <f>IF(C160=2010, AK160/3,AK160)+AJ160</f>
        <v>9.3333333333333339</v>
      </c>
    </row>
    <row r="161" spans="1:57" x14ac:dyDescent="0.25">
      <c r="A161" s="11" t="s">
        <v>763</v>
      </c>
      <c r="B161" s="71" t="s">
        <v>775</v>
      </c>
      <c r="C161" s="62">
        <v>2012</v>
      </c>
      <c r="D161" s="1">
        <f>R161+F161+E161</f>
        <v>2</v>
      </c>
      <c r="F161" s="233"/>
      <c r="G161" s="120"/>
      <c r="H161" s="233"/>
      <c r="I161" s="205"/>
      <c r="J161" s="196"/>
      <c r="K161" s="186">
        <f>6</f>
        <v>6</v>
      </c>
      <c r="L161" s="170">
        <f>0</f>
        <v>0</v>
      </c>
      <c r="M161" s="50"/>
      <c r="N161" s="50">
        <f>0</f>
        <v>0</v>
      </c>
      <c r="O161" s="219">
        <f>AA161</f>
        <v>0</v>
      </c>
      <c r="P161" s="154"/>
      <c r="Q161" s="96">
        <f>I161+J161+K161+L161+M161+N161+O161</f>
        <v>6</v>
      </c>
      <c r="R161" s="97">
        <f>IF(C161=2012, Q161/3,Q161)+P161</f>
        <v>2</v>
      </c>
      <c r="S161" s="235"/>
      <c r="T161" s="235"/>
      <c r="U161" s="50"/>
      <c r="V161" s="50"/>
      <c r="W161" s="50"/>
      <c r="X161" s="50"/>
      <c r="Y161" s="120"/>
      <c r="Z161" s="96">
        <f>SUM(T161:X161)</f>
        <v>0</v>
      </c>
      <c r="AA161" s="97">
        <f>IF(C161=2011, Z161/3,Z161)+Y161</f>
        <v>0</v>
      </c>
      <c r="AB161" s="22"/>
      <c r="AC161" s="153"/>
      <c r="AD161" s="153"/>
      <c r="AE161" s="153"/>
      <c r="AF161" s="153"/>
      <c r="AG161" s="153"/>
      <c r="AH161" s="153"/>
      <c r="AJ161" s="95"/>
      <c r="AK161" s="96"/>
      <c r="AL161" s="97"/>
    </row>
    <row r="162" spans="1:57" x14ac:dyDescent="0.25">
      <c r="A162" s="71" t="s">
        <v>256</v>
      </c>
      <c r="B162" s="71" t="s">
        <v>232</v>
      </c>
      <c r="C162" s="72">
        <v>2011</v>
      </c>
      <c r="D162" s="1">
        <f>R162+F162+E162</f>
        <v>0</v>
      </c>
      <c r="G162" s="154"/>
      <c r="I162" s="205"/>
      <c r="J162" s="196"/>
      <c r="K162" s="186"/>
      <c r="L162" s="170"/>
      <c r="M162" s="50"/>
      <c r="N162" s="50"/>
      <c r="O162" s="219">
        <f>AA162</f>
        <v>0</v>
      </c>
      <c r="P162" s="120"/>
      <c r="Q162" s="96">
        <f>I162+J162+K162+L162+M162+N162+O162</f>
        <v>0</v>
      </c>
      <c r="R162" s="97">
        <f>IF(C162=2012, Q162/3,Q162)+P162</f>
        <v>0</v>
      </c>
      <c r="S162" s="237"/>
      <c r="T162" s="50"/>
      <c r="U162" s="50"/>
      <c r="V162" s="50"/>
      <c r="W162" s="50"/>
      <c r="X162" s="50">
        <f>AL162</f>
        <v>0</v>
      </c>
      <c r="Y162" s="120"/>
      <c r="Z162" s="96">
        <f>SUM(T162:X162)</f>
        <v>0</v>
      </c>
      <c r="AA162" s="97">
        <f>IF(C162=2011, Z162/3,Z162)+Y162</f>
        <v>0</v>
      </c>
      <c r="AB162" s="22"/>
      <c r="AC162" s="237"/>
      <c r="AD162" s="237"/>
      <c r="AE162" s="237">
        <f>0</f>
        <v>0</v>
      </c>
      <c r="AF162" s="237"/>
      <c r="AG162" s="237"/>
      <c r="AH162" s="237"/>
      <c r="AI162" s="240"/>
      <c r="AJ162" s="95"/>
      <c r="AK162" s="96">
        <f>SUM(AC162:AI162)</f>
        <v>0</v>
      </c>
      <c r="AL162" s="97">
        <f>IF(C162=2015, AK162/3,AK162)+AJ162</f>
        <v>0</v>
      </c>
    </row>
    <row r="163" spans="1:57" x14ac:dyDescent="0.25">
      <c r="A163" s="11" t="s">
        <v>769</v>
      </c>
      <c r="B163" s="71" t="s">
        <v>297</v>
      </c>
      <c r="C163" s="62">
        <v>2012</v>
      </c>
      <c r="D163" s="1">
        <f>R163+F163+E163</f>
        <v>5.333333333333333</v>
      </c>
      <c r="G163" s="120"/>
      <c r="I163" s="205"/>
      <c r="J163" s="196"/>
      <c r="K163" s="186"/>
      <c r="L163" s="170"/>
      <c r="M163" s="50"/>
      <c r="N163" s="50">
        <f>16</f>
        <v>16</v>
      </c>
      <c r="O163" s="219">
        <f>AA163</f>
        <v>0</v>
      </c>
      <c r="P163" s="154"/>
      <c r="Q163" s="96">
        <f>I163+J163+K163+L163+M163+N163+O163</f>
        <v>16</v>
      </c>
      <c r="R163" s="97">
        <f>IF(C163=2012, Q163/3,Q163)+P163</f>
        <v>5.333333333333333</v>
      </c>
      <c r="S163" s="209"/>
      <c r="T163" s="209"/>
      <c r="U163" s="50"/>
      <c r="V163" s="50"/>
      <c r="W163" s="50"/>
      <c r="X163" s="50"/>
      <c r="Y163" s="120"/>
      <c r="Z163" s="96">
        <f>SUM(T163:X163)</f>
        <v>0</v>
      </c>
      <c r="AA163" s="97">
        <f>IF(C163=2011, Z163/3,Z163)+Y163</f>
        <v>0</v>
      </c>
      <c r="AB163" s="22"/>
      <c r="AC163" s="153"/>
      <c r="AD163" s="153"/>
      <c r="AE163" s="153"/>
      <c r="AF163" s="153"/>
      <c r="AG163" s="153"/>
      <c r="AH163" s="153"/>
      <c r="AJ163" s="95"/>
      <c r="AK163" s="96"/>
      <c r="AL163" s="97"/>
    </row>
    <row r="164" spans="1:57" x14ac:dyDescent="0.25">
      <c r="A164" s="11" t="s">
        <v>42</v>
      </c>
      <c r="B164" s="11" t="s">
        <v>40</v>
      </c>
      <c r="C164" s="3">
        <v>2010</v>
      </c>
      <c r="D164" s="1">
        <f>R164+F164+E164</f>
        <v>1.3333333333333333</v>
      </c>
      <c r="G164" s="120"/>
      <c r="I164" s="205"/>
      <c r="J164" s="196"/>
      <c r="K164" s="186"/>
      <c r="L164" s="170"/>
      <c r="M164" s="50"/>
      <c r="N164" s="50"/>
      <c r="O164" s="219">
        <f>AA164</f>
        <v>1.3333333333333333</v>
      </c>
      <c r="P164" s="120"/>
      <c r="Q164" s="96">
        <f>I164+J164+K164+L164+M164+N164+O164</f>
        <v>1.3333333333333333</v>
      </c>
      <c r="R164" s="97">
        <f>IF(C164=2012, Q164/3,Q164)+P164</f>
        <v>1.3333333333333333</v>
      </c>
      <c r="S164" s="22"/>
      <c r="T164" s="50"/>
      <c r="U164" s="50"/>
      <c r="V164" s="50"/>
      <c r="W164" s="50"/>
      <c r="X164" s="50">
        <f>AL164</f>
        <v>1.3333333333333333</v>
      </c>
      <c r="Y164" s="120"/>
      <c r="Z164" s="96">
        <f>SUM(T164:X164)</f>
        <v>1.3333333333333333</v>
      </c>
      <c r="AA164" s="97">
        <f>IF(C164=2011, Z164/3,Z164)+Y164</f>
        <v>1.3333333333333333</v>
      </c>
      <c r="AB164" s="22"/>
      <c r="AC164" s="219">
        <v>4</v>
      </c>
      <c r="AD164" s="219"/>
      <c r="AE164" s="219"/>
      <c r="AF164" s="219"/>
      <c r="AG164" s="219"/>
      <c r="AH164" s="219"/>
      <c r="AI164" s="36"/>
      <c r="AJ164" s="95"/>
      <c r="AK164" s="96">
        <f>SUM(AC164:AI164)</f>
        <v>4</v>
      </c>
      <c r="AL164" s="97">
        <f>IF(C164=2010, AK164/3,AK164)+AJ164</f>
        <v>1.3333333333333333</v>
      </c>
    </row>
    <row r="165" spans="1:57" x14ac:dyDescent="0.25">
      <c r="A165" s="11" t="s">
        <v>101</v>
      </c>
      <c r="B165" s="60" t="s">
        <v>64</v>
      </c>
      <c r="C165" s="62">
        <v>2010</v>
      </c>
      <c r="D165" s="1">
        <f>R165+F165+E165</f>
        <v>0</v>
      </c>
      <c r="G165" s="120"/>
      <c r="I165" s="205"/>
      <c r="J165" s="196"/>
      <c r="K165" s="186"/>
      <c r="L165" s="170"/>
      <c r="M165" s="50"/>
      <c r="N165" s="50"/>
      <c r="O165" s="219">
        <f>AA165</f>
        <v>0</v>
      </c>
      <c r="P165" s="120"/>
      <c r="Q165" s="96">
        <f>I165+J165+K165+L165+M165+N165+O165</f>
        <v>0</v>
      </c>
      <c r="R165" s="97">
        <f>IF(C165=2012, Q165/3,Q165)+P165</f>
        <v>0</v>
      </c>
      <c r="S165" s="22"/>
      <c r="T165" s="50"/>
      <c r="U165" s="50"/>
      <c r="V165" s="50"/>
      <c r="W165" s="50"/>
      <c r="X165" s="50">
        <f>AL165</f>
        <v>0</v>
      </c>
      <c r="Y165" s="120"/>
      <c r="Z165" s="96">
        <f>SUM(T165:X165)</f>
        <v>0</v>
      </c>
      <c r="AA165" s="97">
        <f>IF(C165=2011, Z165/3,Z165)+Y165</f>
        <v>0</v>
      </c>
      <c r="AB165" s="22"/>
      <c r="AC165" s="219"/>
      <c r="AD165" s="219">
        <v>0</v>
      </c>
      <c r="AE165" s="219"/>
      <c r="AF165" s="219"/>
      <c r="AG165" s="219"/>
      <c r="AH165" s="219"/>
      <c r="AI165" s="36"/>
      <c r="AJ165" s="95"/>
      <c r="AK165" s="96">
        <f>SUM(AC165:AI165)</f>
        <v>0</v>
      </c>
      <c r="AL165" s="97">
        <f>IF(C165=2010, AK165/3,AK165)+AJ165</f>
        <v>0</v>
      </c>
    </row>
    <row r="166" spans="1:57" x14ac:dyDescent="0.25">
      <c r="A166" s="60" t="s">
        <v>918</v>
      </c>
      <c r="B166" s="65" t="s">
        <v>297</v>
      </c>
      <c r="C166" s="62">
        <v>2010</v>
      </c>
      <c r="D166" s="1">
        <f>R166+F166+E166</f>
        <v>0</v>
      </c>
      <c r="G166" s="237"/>
      <c r="I166" s="205"/>
      <c r="J166" s="196"/>
      <c r="K166" s="186"/>
      <c r="L166" s="170">
        <f>0</f>
        <v>0</v>
      </c>
      <c r="M166" s="50"/>
      <c r="N166" s="50"/>
      <c r="O166" s="219">
        <f>AA166</f>
        <v>0</v>
      </c>
      <c r="P166" s="120"/>
      <c r="Q166" s="96">
        <f>I166+J166+K166+L166+M166+N166+O166</f>
        <v>0</v>
      </c>
      <c r="R166" s="97">
        <f>IF(C166=2012, Q166/3,Q166)+P166</f>
        <v>0</v>
      </c>
      <c r="S166" s="22"/>
      <c r="T166" s="50"/>
      <c r="U166" s="50"/>
      <c r="V166" s="50"/>
      <c r="W166" s="50"/>
      <c r="X166" s="50"/>
      <c r="Y166" s="120"/>
      <c r="Z166" s="96">
        <f>SUM(T166:X166)</f>
        <v>0</v>
      </c>
      <c r="AA166" s="97">
        <f>IF(C166=2011, Z166/3,Z166)+Y166</f>
        <v>0</v>
      </c>
      <c r="AB166" s="22"/>
      <c r="AJ166" s="95"/>
      <c r="AK166" s="96"/>
      <c r="AL166" s="97"/>
    </row>
    <row r="167" spans="1:57" x14ac:dyDescent="0.25">
      <c r="A167" s="11" t="s">
        <v>456</v>
      </c>
      <c r="B167" s="60" t="s">
        <v>7</v>
      </c>
      <c r="C167" s="62">
        <v>2009</v>
      </c>
      <c r="D167" s="1">
        <f>R167+F167+E167</f>
        <v>68</v>
      </c>
      <c r="G167" s="120"/>
      <c r="I167" s="205"/>
      <c r="J167" s="196"/>
      <c r="K167" s="186"/>
      <c r="L167" s="170"/>
      <c r="M167" s="50"/>
      <c r="N167" s="205"/>
      <c r="O167" s="219">
        <f>AA167</f>
        <v>68</v>
      </c>
      <c r="P167" s="120"/>
      <c r="Q167" s="96">
        <f>I167+J167+K167+L167+M167+N167+O167</f>
        <v>68</v>
      </c>
      <c r="R167" s="97">
        <f>IF(C167=2012, Q167/3,Q167)+P167</f>
        <v>68</v>
      </c>
      <c r="S167" s="237"/>
      <c r="T167" s="237"/>
      <c r="U167" s="50"/>
      <c r="V167" s="50">
        <f>0</f>
        <v>0</v>
      </c>
      <c r="W167" s="50">
        <f>1</f>
        <v>1</v>
      </c>
      <c r="X167" s="50">
        <f>AL167</f>
        <v>67</v>
      </c>
      <c r="Y167" s="120"/>
      <c r="Z167" s="96">
        <f>SUM(T167:X167)</f>
        <v>68</v>
      </c>
      <c r="AA167" s="97">
        <f>IF(C167=2011, Z167/3,Z167)+Y167</f>
        <v>68</v>
      </c>
      <c r="AB167" s="22"/>
      <c r="AC167" s="237"/>
      <c r="AD167" s="237"/>
      <c r="AE167" s="237"/>
      <c r="AF167" s="237"/>
      <c r="AG167" s="237">
        <f>15</f>
        <v>15</v>
      </c>
      <c r="AH167" s="237">
        <f>20+30+2</f>
        <v>52</v>
      </c>
      <c r="AI167" s="240"/>
      <c r="AJ167" s="95"/>
      <c r="AK167" s="96">
        <f>SUM(AC167:AI167)</f>
        <v>67</v>
      </c>
      <c r="AL167" s="97">
        <f>IF(C167=2015, AK167/3,AK167)+AJ167</f>
        <v>67</v>
      </c>
    </row>
    <row r="168" spans="1:57" x14ac:dyDescent="0.25">
      <c r="A168" s="60" t="s">
        <v>456</v>
      </c>
      <c r="B168" s="85" t="s">
        <v>7</v>
      </c>
      <c r="C168" s="62">
        <v>2010</v>
      </c>
      <c r="D168" s="1">
        <f>R168+F168+E168</f>
        <v>3</v>
      </c>
      <c r="G168" s="120"/>
      <c r="I168" s="205"/>
      <c r="J168" s="196"/>
      <c r="K168" s="186"/>
      <c r="L168" s="170"/>
      <c r="M168" s="50"/>
      <c r="N168" s="50"/>
      <c r="O168" s="219">
        <f>AA168</f>
        <v>3</v>
      </c>
      <c r="P168" s="120"/>
      <c r="Q168" s="96">
        <f>I168+J168+K168+L168+M168+N168+O168</f>
        <v>3</v>
      </c>
      <c r="R168" s="97">
        <f>IF(C168=2012, Q168/3,Q168)+P168</f>
        <v>3</v>
      </c>
      <c r="S168" s="22"/>
      <c r="T168" s="219"/>
      <c r="U168" s="50">
        <f>0</f>
        <v>0</v>
      </c>
      <c r="V168" s="50"/>
      <c r="W168" s="50">
        <f>0+3</f>
        <v>3</v>
      </c>
      <c r="X168" s="50"/>
      <c r="Y168" s="120"/>
      <c r="Z168" s="96">
        <f>SUM(T168:X168)</f>
        <v>3</v>
      </c>
      <c r="AA168" s="97">
        <f>IF(C168=2011, Z168/3,Z168)+Y168</f>
        <v>3</v>
      </c>
      <c r="AB168" s="22"/>
      <c r="AJ168" s="95"/>
      <c r="AK168" s="96"/>
      <c r="AL168" s="97"/>
    </row>
    <row r="169" spans="1:57" x14ac:dyDescent="0.25">
      <c r="A169" s="11" t="s">
        <v>459</v>
      </c>
      <c r="B169" s="60" t="s">
        <v>7</v>
      </c>
      <c r="C169" s="62">
        <v>2012</v>
      </c>
      <c r="D169" s="1">
        <f>R169+F169+E169</f>
        <v>26.666666666666668</v>
      </c>
      <c r="E169" s="156"/>
      <c r="F169" s="156"/>
      <c r="G169" s="122"/>
      <c r="H169" s="156"/>
      <c r="I169" s="205"/>
      <c r="J169" s="196"/>
      <c r="K169" s="186"/>
      <c r="L169" s="170"/>
      <c r="M169" s="50"/>
      <c r="N169" s="50"/>
      <c r="O169" s="219">
        <f>AA169</f>
        <v>80</v>
      </c>
      <c r="P169" s="120"/>
      <c r="Q169" s="96">
        <f>I169+J169+K169+L169+M169+N169+O169</f>
        <v>80</v>
      </c>
      <c r="R169" s="97">
        <f>IF(C169=2012, Q169/3,Q169)+P169</f>
        <v>26.666666666666668</v>
      </c>
      <c r="S169" s="238"/>
      <c r="T169" s="238"/>
      <c r="U169" s="50">
        <f>24</f>
        <v>24</v>
      </c>
      <c r="V169" s="50">
        <f>32</f>
        <v>32</v>
      </c>
      <c r="W169" s="50">
        <f>0+3+1</f>
        <v>4</v>
      </c>
      <c r="X169" s="50">
        <f>AL169</f>
        <v>20</v>
      </c>
      <c r="Y169" s="120"/>
      <c r="Z169" s="96">
        <f>SUM(T169:X169)</f>
        <v>80</v>
      </c>
      <c r="AA169" s="97">
        <f>IF(C169=2011, Z169/3,Z169)+Y169</f>
        <v>80</v>
      </c>
      <c r="AB169" s="22"/>
      <c r="AC169" s="237"/>
      <c r="AD169" s="237"/>
      <c r="AE169" s="237"/>
      <c r="AF169" s="237"/>
      <c r="AG169" s="237">
        <f>0</f>
        <v>0</v>
      </c>
      <c r="AH169" s="237">
        <f>18+2</f>
        <v>20</v>
      </c>
      <c r="AI169" s="240"/>
      <c r="AJ169" s="95"/>
      <c r="AK169" s="96">
        <f>SUM(AC169:AI169)</f>
        <v>20</v>
      </c>
      <c r="AL169" s="97">
        <f>IF(C169=2015, AK169/3,AK169)+AJ169</f>
        <v>20</v>
      </c>
    </row>
    <row r="170" spans="1:57" x14ac:dyDescent="0.25">
      <c r="A170" s="11" t="s">
        <v>304</v>
      </c>
      <c r="B170" s="71" t="s">
        <v>232</v>
      </c>
      <c r="C170" s="62">
        <v>2012</v>
      </c>
      <c r="D170" s="1">
        <f>R170+F170+E170</f>
        <v>106</v>
      </c>
      <c r="E170" s="233">
        <f>12</f>
        <v>12</v>
      </c>
      <c r="G170" s="154"/>
      <c r="I170" s="205"/>
      <c r="J170" s="196"/>
      <c r="K170" s="186"/>
      <c r="L170" s="170"/>
      <c r="M170" s="50"/>
      <c r="N170" s="50"/>
      <c r="O170" s="219">
        <f>AA170</f>
        <v>282</v>
      </c>
      <c r="P170" s="120"/>
      <c r="Q170" s="96">
        <f>I170+J170+K170+L170+M170+N170+O170</f>
        <v>282</v>
      </c>
      <c r="R170" s="97">
        <f>IF(C170=2012, Q170/3,Q170)+P170</f>
        <v>94</v>
      </c>
      <c r="S170" s="238"/>
      <c r="T170" s="238"/>
      <c r="U170" s="50">
        <f>54</f>
        <v>54</v>
      </c>
      <c r="V170" s="50">
        <f>76</f>
        <v>76</v>
      </c>
      <c r="W170" s="50">
        <f>52</f>
        <v>52</v>
      </c>
      <c r="X170" s="50">
        <f>AL170</f>
        <v>100</v>
      </c>
      <c r="Y170" s="120"/>
      <c r="Z170" s="96">
        <f>SUM(T170:X170)</f>
        <v>282</v>
      </c>
      <c r="AA170" s="97">
        <f>IF(C170=2011, Z170/3,Z170)+Y170</f>
        <v>282</v>
      </c>
      <c r="AB170" s="22"/>
      <c r="AC170" s="219"/>
      <c r="AD170" s="219"/>
      <c r="AE170" s="219"/>
      <c r="AF170" s="219">
        <f>49</f>
        <v>49</v>
      </c>
      <c r="AG170" s="219"/>
      <c r="AH170" s="219">
        <f>51</f>
        <v>51</v>
      </c>
      <c r="AI170" s="36"/>
      <c r="AJ170" s="95"/>
      <c r="AK170" s="96">
        <f>SUM(AC170:AI170)</f>
        <v>100</v>
      </c>
      <c r="AL170" s="97">
        <f>IF(C170=2015, AK170/3,AK170)+AJ170</f>
        <v>100</v>
      </c>
    </row>
    <row r="171" spans="1:57" x14ac:dyDescent="0.25">
      <c r="A171" s="51" t="s">
        <v>48</v>
      </c>
      <c r="B171" s="51" t="s">
        <v>6</v>
      </c>
      <c r="C171" s="52">
        <v>2012</v>
      </c>
      <c r="D171" s="1">
        <f>R171+F171+E171</f>
        <v>259.33333333333337</v>
      </c>
      <c r="E171" s="237">
        <f>30+24</f>
        <v>54</v>
      </c>
      <c r="F171" s="237"/>
      <c r="G171" s="120"/>
      <c r="H171" s="237"/>
      <c r="I171" s="205"/>
      <c r="J171" s="196"/>
      <c r="K171" s="186"/>
      <c r="L171" s="170"/>
      <c r="M171" s="50"/>
      <c r="N171" s="50"/>
      <c r="O171" s="219">
        <f>AA171</f>
        <v>616</v>
      </c>
      <c r="P171" s="120"/>
      <c r="Q171" s="96">
        <f>I171+J171+K171+L171+M171+N171+O171</f>
        <v>616</v>
      </c>
      <c r="R171" s="97">
        <f>IF(C171=2012, Q171/3,Q171)+P171</f>
        <v>205.33333333333334</v>
      </c>
      <c r="S171" s="238"/>
      <c r="T171" s="238"/>
      <c r="U171" s="50"/>
      <c r="V171" s="50">
        <f>147+54</f>
        <v>201</v>
      </c>
      <c r="W171" s="50">
        <f>72</f>
        <v>72</v>
      </c>
      <c r="X171" s="50">
        <f>AL171</f>
        <v>343</v>
      </c>
      <c r="Y171" s="120"/>
      <c r="Z171" s="96">
        <f>SUM(U171:X171)</f>
        <v>616</v>
      </c>
      <c r="AA171" s="97">
        <f>IF(C171=2016, Z171/3,Z171)+Y171</f>
        <v>616</v>
      </c>
      <c r="AB171" s="22"/>
      <c r="AC171" s="237">
        <f>0</f>
        <v>0</v>
      </c>
      <c r="AD171" s="237"/>
      <c r="AE171" s="237">
        <f>87</f>
        <v>87</v>
      </c>
      <c r="AF171" s="237">
        <f>84</f>
        <v>84</v>
      </c>
      <c r="AG171" s="237">
        <f>24</f>
        <v>24</v>
      </c>
      <c r="AH171" s="237">
        <f>51+30</f>
        <v>81</v>
      </c>
      <c r="AI171" s="237">
        <v>67</v>
      </c>
      <c r="AJ171" s="95"/>
      <c r="AK171" s="96">
        <f>SUM(AC171:AI171)</f>
        <v>343</v>
      </c>
      <c r="AL171" s="97">
        <f>IF(C171=2015, AK171/3,AK171)+AJ171</f>
        <v>343</v>
      </c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</row>
    <row r="172" spans="1:57" x14ac:dyDescent="0.25">
      <c r="A172" s="60" t="s">
        <v>598</v>
      </c>
      <c r="B172" s="85" t="s">
        <v>587</v>
      </c>
      <c r="C172" s="62">
        <v>2010</v>
      </c>
      <c r="D172" s="1">
        <f>R172+F172+E172</f>
        <v>6</v>
      </c>
      <c r="G172" s="120"/>
      <c r="I172" s="205"/>
      <c r="J172" s="196"/>
      <c r="K172" s="186"/>
      <c r="L172" s="170"/>
      <c r="M172" s="50"/>
      <c r="N172" s="50">
        <f>3</f>
        <v>3</v>
      </c>
      <c r="O172" s="219">
        <f>AA172</f>
        <v>3</v>
      </c>
      <c r="P172" s="120"/>
      <c r="Q172" s="96">
        <f>I172+J172+K172+L172+M172+N172+O172</f>
        <v>6</v>
      </c>
      <c r="R172" s="97">
        <f>IF(C172=2012, Q172/3,Q172)+P172</f>
        <v>6</v>
      </c>
      <c r="S172" s="22"/>
      <c r="T172" s="237"/>
      <c r="U172" s="50"/>
      <c r="V172" s="50"/>
      <c r="W172" s="50">
        <f>3</f>
        <v>3</v>
      </c>
      <c r="X172" s="50"/>
      <c r="Y172" s="120"/>
      <c r="Z172" s="96">
        <f>SUM(T172:X172)</f>
        <v>3</v>
      </c>
      <c r="AA172" s="97">
        <f>IF(C172=2011, Z172/3,Z172)+Y172</f>
        <v>3</v>
      </c>
      <c r="AB172" s="22"/>
      <c r="AJ172" s="95"/>
      <c r="AK172" s="96"/>
      <c r="AL172" s="97"/>
    </row>
    <row r="173" spans="1:57" x14ac:dyDescent="0.25">
      <c r="A173" s="11" t="s">
        <v>405</v>
      </c>
      <c r="B173" s="71" t="s">
        <v>406</v>
      </c>
      <c r="C173" s="62">
        <v>2012</v>
      </c>
      <c r="D173" s="1">
        <f>R173+F173+E173</f>
        <v>55.666666666666664</v>
      </c>
      <c r="G173" s="154"/>
      <c r="I173" s="205">
        <f>20+10</f>
        <v>30</v>
      </c>
      <c r="J173" s="196">
        <f>44+16</f>
        <v>60</v>
      </c>
      <c r="K173" s="186"/>
      <c r="L173" s="170">
        <f>34+4</f>
        <v>38</v>
      </c>
      <c r="M173" s="50">
        <f>22+7</f>
        <v>29</v>
      </c>
      <c r="N173" s="50"/>
      <c r="O173" s="219">
        <f>AA173</f>
        <v>10</v>
      </c>
      <c r="P173" s="120"/>
      <c r="Q173" s="96">
        <f>I173+J173+K173+L173+M173+N173+O173</f>
        <v>167</v>
      </c>
      <c r="R173" s="97">
        <f>IF(C173=2012, Q173/3,Q173)+P173</f>
        <v>55.666666666666664</v>
      </c>
      <c r="S173" s="238"/>
      <c r="T173" s="238"/>
      <c r="U173" s="50"/>
      <c r="V173" s="50"/>
      <c r="W173" s="50"/>
      <c r="X173" s="50">
        <f>AL173</f>
        <v>10</v>
      </c>
      <c r="Y173" s="120"/>
      <c r="Z173" s="96">
        <f>SUM(T173:X173)</f>
        <v>10</v>
      </c>
      <c r="AA173" s="97">
        <f>IF(C173=2011, Z173/3,Z173)+Y173</f>
        <v>10</v>
      </c>
      <c r="AB173" s="22"/>
      <c r="AC173" s="237"/>
      <c r="AD173" s="237"/>
      <c r="AE173" s="237"/>
      <c r="AF173" s="237"/>
      <c r="AG173" s="237">
        <f>10</f>
        <v>10</v>
      </c>
      <c r="AH173" s="237"/>
      <c r="AI173" s="240"/>
      <c r="AJ173" s="95"/>
      <c r="AK173" s="96">
        <f>SUM(AC173:AI173)</f>
        <v>10</v>
      </c>
      <c r="AL173" s="97">
        <f>IF(C173=2015, AK173/3,AK173)+AJ173</f>
        <v>10</v>
      </c>
    </row>
    <row r="174" spans="1:57" x14ac:dyDescent="0.25">
      <c r="A174" s="11" t="s">
        <v>309</v>
      </c>
      <c r="B174" s="71" t="s">
        <v>86</v>
      </c>
      <c r="C174" s="62">
        <v>2010</v>
      </c>
      <c r="D174" s="1">
        <f>R174+F174+E174</f>
        <v>6</v>
      </c>
      <c r="G174" s="154"/>
      <c r="I174" s="205"/>
      <c r="J174" s="196"/>
      <c r="K174" s="186"/>
      <c r="L174" s="170"/>
      <c r="M174" s="50"/>
      <c r="N174" s="50"/>
      <c r="O174" s="219">
        <f>AA174</f>
        <v>6</v>
      </c>
      <c r="P174" s="120"/>
      <c r="Q174" s="96">
        <f>I174+J174+K174+L174+M174+N174+O174</f>
        <v>6</v>
      </c>
      <c r="R174" s="97">
        <f>IF(C174=2012, Q174/3,Q174)+P174</f>
        <v>6</v>
      </c>
      <c r="S174" s="22"/>
      <c r="T174" s="50"/>
      <c r="U174" s="50"/>
      <c r="V174" s="50"/>
      <c r="W174" s="50"/>
      <c r="X174" s="50">
        <f>AL174</f>
        <v>6</v>
      </c>
      <c r="Y174" s="120"/>
      <c r="Z174" s="96">
        <f>SUM(T174:X174)</f>
        <v>6</v>
      </c>
      <c r="AA174" s="97">
        <f>IF(C174=2011, Z174/3,Z174)+Y174</f>
        <v>6</v>
      </c>
      <c r="AB174" s="22"/>
      <c r="AC174" s="237"/>
      <c r="AD174" s="237"/>
      <c r="AE174" s="237"/>
      <c r="AF174" s="237">
        <f>18</f>
        <v>18</v>
      </c>
      <c r="AG174" s="237"/>
      <c r="AH174" s="237"/>
      <c r="AI174" s="240"/>
      <c r="AJ174" s="95"/>
      <c r="AK174" s="96">
        <f>SUM(AC174:AI174)</f>
        <v>18</v>
      </c>
      <c r="AL174" s="97">
        <f>IF(C174=2010, AK174/3,AK174)+AJ174</f>
        <v>6</v>
      </c>
    </row>
    <row r="175" spans="1:57" x14ac:dyDescent="0.25">
      <c r="A175" s="11" t="s">
        <v>678</v>
      </c>
      <c r="B175" s="71" t="s">
        <v>663</v>
      </c>
      <c r="C175" s="62"/>
      <c r="D175" s="1">
        <f>R175+F175+E175</f>
        <v>21</v>
      </c>
      <c r="G175" s="154"/>
      <c r="I175" s="205"/>
      <c r="J175" s="196"/>
      <c r="K175" s="186"/>
      <c r="L175" s="170"/>
      <c r="M175" s="50"/>
      <c r="N175" s="50"/>
      <c r="O175" s="219">
        <f>AA175</f>
        <v>21</v>
      </c>
      <c r="P175" s="120"/>
      <c r="Q175" s="96">
        <f>I175+J175+K175+L175+M175+N175+O175</f>
        <v>21</v>
      </c>
      <c r="R175" s="97">
        <f>IF(C175=2012, Q175/3,Q175)+P175</f>
        <v>21</v>
      </c>
      <c r="S175" s="22"/>
      <c r="T175" s="219"/>
      <c r="U175" s="50"/>
      <c r="V175" s="50">
        <f>21</f>
        <v>21</v>
      </c>
      <c r="W175" s="50"/>
      <c r="X175" s="50"/>
      <c r="Y175" s="120"/>
      <c r="Z175" s="96">
        <f>SUM(T175:X175)</f>
        <v>21</v>
      </c>
      <c r="AA175" s="97">
        <f>IF(C175=2011, Z175/3,Z175)+Y175</f>
        <v>21</v>
      </c>
      <c r="AB175" s="22"/>
      <c r="AC175" s="237"/>
      <c r="AD175" s="237"/>
      <c r="AE175" s="237"/>
      <c r="AF175" s="237"/>
      <c r="AG175" s="237"/>
      <c r="AH175" s="237"/>
      <c r="AI175" s="240"/>
      <c r="AJ175" s="95"/>
      <c r="AK175" s="96"/>
      <c r="AL175" s="97"/>
    </row>
    <row r="176" spans="1:57" x14ac:dyDescent="0.25">
      <c r="A176" s="11" t="s">
        <v>977</v>
      </c>
      <c r="B176" s="71" t="s">
        <v>0</v>
      </c>
      <c r="C176" s="62">
        <v>2009</v>
      </c>
      <c r="D176" s="1">
        <f>R176+F176+E176</f>
        <v>104</v>
      </c>
      <c r="E176" s="233">
        <f>6+4</f>
        <v>10</v>
      </c>
      <c r="G176" s="154"/>
      <c r="I176" s="205">
        <f>20+6</f>
        <v>26</v>
      </c>
      <c r="J176" s="196">
        <f>15+6</f>
        <v>21</v>
      </c>
      <c r="K176" s="186"/>
      <c r="L176" s="170">
        <f>21</f>
        <v>21</v>
      </c>
      <c r="M176" s="50"/>
      <c r="N176" s="50">
        <f>26</f>
        <v>26</v>
      </c>
      <c r="O176" s="219">
        <f>AA176</f>
        <v>0</v>
      </c>
      <c r="P176" s="120"/>
      <c r="Q176" s="96">
        <f>I176+J176+K176+L176+M176+N176+O176</f>
        <v>94</v>
      </c>
      <c r="R176" s="97">
        <f>IF(C176=2012, Q176/3,Q176)+P176</f>
        <v>94</v>
      </c>
      <c r="S176" s="22"/>
      <c r="T176" s="50"/>
      <c r="U176" s="50"/>
      <c r="V176" s="50"/>
      <c r="W176" s="50"/>
      <c r="X176" s="50"/>
      <c r="Y176" s="120"/>
      <c r="Z176" s="96">
        <f>SUM(T176:X176)</f>
        <v>0</v>
      </c>
      <c r="AA176" s="97"/>
      <c r="AB176" s="22"/>
      <c r="AC176" s="237"/>
      <c r="AD176" s="237"/>
      <c r="AE176" s="237"/>
      <c r="AF176" s="237"/>
      <c r="AG176" s="237"/>
      <c r="AH176" s="237"/>
      <c r="AI176" s="240"/>
      <c r="AJ176" s="95"/>
      <c r="AK176" s="96"/>
      <c r="AL176" s="97"/>
    </row>
    <row r="177" spans="1:38" x14ac:dyDescent="0.25">
      <c r="A177" s="11" t="s">
        <v>142</v>
      </c>
      <c r="B177" s="60" t="s">
        <v>64</v>
      </c>
      <c r="C177" s="62">
        <v>2012</v>
      </c>
      <c r="D177" s="1">
        <f>R177+F177+E177</f>
        <v>0</v>
      </c>
      <c r="G177" s="154"/>
      <c r="I177" s="205"/>
      <c r="J177" s="196"/>
      <c r="K177" s="186"/>
      <c r="L177" s="170"/>
      <c r="M177" s="50"/>
      <c r="N177" s="50"/>
      <c r="O177" s="219">
        <f>AA177</f>
        <v>0</v>
      </c>
      <c r="P177" s="120"/>
      <c r="Q177" s="96">
        <f>I177+J177+K177+L177+M177+N177+O177</f>
        <v>0</v>
      </c>
      <c r="R177" s="97">
        <f>IF(C177=2012, Q177/3,Q177)+P177</f>
        <v>0</v>
      </c>
      <c r="S177" s="222"/>
      <c r="T177" s="222"/>
      <c r="U177" s="50"/>
      <c r="V177" s="50"/>
      <c r="W177" s="50"/>
      <c r="X177" s="50">
        <f>AL177</f>
        <v>0</v>
      </c>
      <c r="Y177" s="120"/>
      <c r="Z177" s="96">
        <f>SUM(T177:X177)</f>
        <v>0</v>
      </c>
      <c r="AA177" s="97">
        <f>IF(C177=2011, Z177/3,Z177)+Y177</f>
        <v>0</v>
      </c>
      <c r="AB177" s="22"/>
      <c r="AC177" s="41"/>
      <c r="AD177" s="41">
        <v>0</v>
      </c>
      <c r="AE177" s="41"/>
      <c r="AF177" s="41"/>
      <c r="AG177" s="41"/>
      <c r="AH177" s="41"/>
      <c r="AJ177" s="95"/>
      <c r="AK177" s="96">
        <f>SUM(AC177:AI177)</f>
        <v>0</v>
      </c>
      <c r="AL177" s="97">
        <f>IF(C177=2015, AK177/3,AK177)+AJ177</f>
        <v>0</v>
      </c>
    </row>
    <row r="178" spans="1:38" x14ac:dyDescent="0.25">
      <c r="A178" s="71" t="s">
        <v>279</v>
      </c>
      <c r="B178" s="19" t="s">
        <v>232</v>
      </c>
      <c r="C178" s="72">
        <v>2009</v>
      </c>
      <c r="D178" s="1">
        <f>R178+F178+E178</f>
        <v>9</v>
      </c>
      <c r="G178" s="120"/>
      <c r="I178" s="205"/>
      <c r="J178" s="196"/>
      <c r="K178" s="186"/>
      <c r="L178" s="170"/>
      <c r="M178" s="50"/>
      <c r="N178" s="50"/>
      <c r="O178" s="219">
        <f>AA178</f>
        <v>9</v>
      </c>
      <c r="P178" s="120"/>
      <c r="Q178" s="96">
        <f>I178+J178+K178+L178+M178+N178+O178</f>
        <v>9</v>
      </c>
      <c r="R178" s="97">
        <f>IF(C178=2012, Q178/3,Q178)+P178</f>
        <v>9</v>
      </c>
      <c r="S178" s="22"/>
      <c r="T178" s="50"/>
      <c r="U178" s="50"/>
      <c r="V178" s="50"/>
      <c r="W178" s="50"/>
      <c r="X178" s="50">
        <f>AL178</f>
        <v>9</v>
      </c>
      <c r="Y178" s="120"/>
      <c r="Z178" s="96">
        <f>SUM(T178:X178)</f>
        <v>9</v>
      </c>
      <c r="AA178" s="97">
        <f>IF(C178=2011, Z178/3,Z178)+Y178</f>
        <v>9</v>
      </c>
      <c r="AB178" s="22"/>
      <c r="AE178" s="13">
        <v>9</v>
      </c>
      <c r="AJ178" s="95"/>
      <c r="AK178" s="96">
        <f>SUM(AC178:AI178)</f>
        <v>9</v>
      </c>
      <c r="AL178" s="97">
        <f>IF(C178=2010, AK178/3,AK178)+AJ178</f>
        <v>9</v>
      </c>
    </row>
    <row r="179" spans="1:38" x14ac:dyDescent="0.25">
      <c r="A179" s="11" t="s">
        <v>133</v>
      </c>
      <c r="B179" s="60" t="s">
        <v>86</v>
      </c>
      <c r="C179" s="62">
        <v>2010</v>
      </c>
      <c r="D179" s="1">
        <f>R179+F179+E179</f>
        <v>19.333333333333332</v>
      </c>
      <c r="G179" s="120"/>
      <c r="I179" s="205"/>
      <c r="J179" s="196"/>
      <c r="K179" s="186"/>
      <c r="L179" s="170"/>
      <c r="M179" s="50"/>
      <c r="N179" s="50"/>
      <c r="O179" s="219">
        <f>AA179</f>
        <v>19.333333333333332</v>
      </c>
      <c r="P179" s="120"/>
      <c r="Q179" s="96">
        <f>I179+J179+K179+L179+M179+N179+O179</f>
        <v>19.333333333333332</v>
      </c>
      <c r="R179" s="97">
        <f>IF(C179=2012, Q179/3,Q179)+P179</f>
        <v>19.333333333333332</v>
      </c>
      <c r="S179" s="22"/>
      <c r="T179" s="237"/>
      <c r="U179" s="50"/>
      <c r="V179" s="50"/>
      <c r="W179" s="50"/>
      <c r="X179" s="50">
        <f>AL179</f>
        <v>19.333333333333332</v>
      </c>
      <c r="Y179" s="120"/>
      <c r="Z179" s="96">
        <f>SUM(T179:X179)</f>
        <v>19.333333333333332</v>
      </c>
      <c r="AA179" s="97">
        <f>IF(C179=2011, Z179/3,Z179)+Y179</f>
        <v>19.333333333333332</v>
      </c>
      <c r="AB179" s="22"/>
      <c r="AC179" s="41"/>
      <c r="AD179" s="41">
        <f>8+2</f>
        <v>10</v>
      </c>
      <c r="AE179" s="41"/>
      <c r="AF179" s="41">
        <f>45+3</f>
        <v>48</v>
      </c>
      <c r="AG179" s="41"/>
      <c r="AH179" s="41"/>
      <c r="AJ179" s="95"/>
      <c r="AK179" s="96">
        <f>SUM(AC179:AI179)</f>
        <v>58</v>
      </c>
      <c r="AL179" s="97">
        <f>IF(C179=2010, AK179/3,AK179)+AJ179</f>
        <v>19.333333333333332</v>
      </c>
    </row>
    <row r="180" spans="1:38" x14ac:dyDescent="0.25">
      <c r="A180" s="11" t="s">
        <v>782</v>
      </c>
      <c r="B180" s="71" t="s">
        <v>633</v>
      </c>
      <c r="C180" s="62">
        <v>2011</v>
      </c>
      <c r="D180" s="1">
        <f>R180+F180+E180</f>
        <v>40</v>
      </c>
      <c r="G180" s="154"/>
      <c r="I180" s="205"/>
      <c r="J180" s="196"/>
      <c r="K180" s="186"/>
      <c r="L180" s="170"/>
      <c r="M180" s="50">
        <f>6+5</f>
        <v>11</v>
      </c>
      <c r="N180" s="50">
        <f>25+4</f>
        <v>29</v>
      </c>
      <c r="O180" s="219">
        <f>AA180</f>
        <v>0</v>
      </c>
      <c r="P180" s="120"/>
      <c r="Q180" s="96">
        <f>I180+J180+K180+L180+M180+N180+O180</f>
        <v>40</v>
      </c>
      <c r="R180" s="97">
        <f>IF(C180=2012, Q180/3,Q180)+P180</f>
        <v>40</v>
      </c>
      <c r="S180" s="22"/>
      <c r="T180" s="50"/>
      <c r="U180" s="50"/>
      <c r="V180" s="50"/>
      <c r="W180" s="50"/>
      <c r="X180" s="50"/>
      <c r="Y180" s="120"/>
      <c r="Z180" s="96">
        <f>SUM(T180:X180)</f>
        <v>0</v>
      </c>
      <c r="AA180" s="97"/>
      <c r="AB180" s="22"/>
      <c r="AC180" s="237"/>
      <c r="AD180" s="237"/>
      <c r="AE180" s="237"/>
      <c r="AF180" s="237"/>
      <c r="AG180" s="237"/>
      <c r="AH180" s="237"/>
      <c r="AI180" s="240"/>
      <c r="AJ180" s="95"/>
      <c r="AK180" s="96"/>
      <c r="AL180" s="97"/>
    </row>
    <row r="181" spans="1:38" x14ac:dyDescent="0.25">
      <c r="A181" s="11" t="s">
        <v>397</v>
      </c>
      <c r="B181" s="60" t="s">
        <v>111</v>
      </c>
      <c r="C181" s="62">
        <v>2011</v>
      </c>
      <c r="D181" s="1">
        <f>R181+F181+E181</f>
        <v>9.6666666666666661</v>
      </c>
      <c r="E181" s="156"/>
      <c r="F181" s="156"/>
      <c r="G181" s="154"/>
      <c r="H181" s="156"/>
      <c r="I181" s="205"/>
      <c r="J181" s="196"/>
      <c r="K181" s="186"/>
      <c r="L181" s="170"/>
      <c r="M181" s="50"/>
      <c r="N181" s="50"/>
      <c r="O181" s="219">
        <f>AA181</f>
        <v>9.6666666666666661</v>
      </c>
      <c r="P181" s="120"/>
      <c r="Q181" s="96">
        <f>I181+J181+K181+L181+M181+N181+O181</f>
        <v>9.6666666666666661</v>
      </c>
      <c r="R181" s="97">
        <f>IF(C181=2012, Q181/3,Q181)+P181</f>
        <v>9.6666666666666661</v>
      </c>
      <c r="S181" s="237"/>
      <c r="T181" s="50"/>
      <c r="U181" s="50"/>
      <c r="V181" s="50"/>
      <c r="W181" s="50"/>
      <c r="X181" s="50">
        <f>AL181</f>
        <v>29</v>
      </c>
      <c r="Y181" s="120"/>
      <c r="Z181" s="96">
        <f>SUM(T181:X181)</f>
        <v>29</v>
      </c>
      <c r="AA181" s="97">
        <f>IF(C181=2011, Z181/3,Z181)+Y181</f>
        <v>9.6666666666666661</v>
      </c>
      <c r="AB181" s="22"/>
      <c r="AC181" s="41"/>
      <c r="AD181" s="41"/>
      <c r="AE181" s="41"/>
      <c r="AF181" s="41"/>
      <c r="AG181" s="41">
        <f>29</f>
        <v>29</v>
      </c>
      <c r="AH181" s="41"/>
      <c r="AJ181" s="95"/>
      <c r="AK181" s="96">
        <f>SUM(AC181:AI181)</f>
        <v>29</v>
      </c>
      <c r="AL181" s="97">
        <f>IF(C181=2015, AK181/3,AK181)+AJ181</f>
        <v>29</v>
      </c>
    </row>
    <row r="182" spans="1:38" x14ac:dyDescent="0.25">
      <c r="A182" s="11" t="s">
        <v>829</v>
      </c>
      <c r="B182" s="60" t="s">
        <v>587</v>
      </c>
      <c r="C182" s="62">
        <v>2012</v>
      </c>
      <c r="D182" s="1">
        <f>R182+F182+E182</f>
        <v>1</v>
      </c>
      <c r="G182" s="120"/>
      <c r="I182" s="205"/>
      <c r="J182" s="196"/>
      <c r="K182" s="186"/>
      <c r="L182" s="170"/>
      <c r="M182" s="50"/>
      <c r="N182" s="50">
        <f>3</f>
        <v>3</v>
      </c>
      <c r="O182" s="219">
        <f>AA182</f>
        <v>0</v>
      </c>
      <c r="P182" s="154"/>
      <c r="Q182" s="96">
        <f>I182+J182+K182+L182+M182+N182+O182</f>
        <v>3</v>
      </c>
      <c r="R182" s="97">
        <f>IF(C182=2012, Q182/3,Q182)+P182</f>
        <v>1</v>
      </c>
      <c r="S182" s="238"/>
      <c r="T182" s="238"/>
      <c r="U182" s="50"/>
      <c r="V182" s="50"/>
      <c r="W182" s="50"/>
      <c r="X182" s="50"/>
      <c r="Y182" s="120"/>
      <c r="Z182" s="96">
        <f>SUM(T182:X182)</f>
        <v>0</v>
      </c>
      <c r="AA182" s="97">
        <f>IF(C182=2011, Z182/3,Z182)+Y182</f>
        <v>0</v>
      </c>
      <c r="AB182" s="22"/>
      <c r="AC182" s="153"/>
      <c r="AD182" s="153"/>
      <c r="AE182" s="153"/>
      <c r="AF182" s="153"/>
      <c r="AG182" s="153"/>
      <c r="AH182" s="153"/>
      <c r="AJ182" s="95"/>
      <c r="AK182" s="96"/>
      <c r="AL182" s="97"/>
    </row>
    <row r="183" spans="1:38" x14ac:dyDescent="0.25">
      <c r="A183" s="11" t="s">
        <v>488</v>
      </c>
      <c r="B183" s="60" t="s">
        <v>479</v>
      </c>
      <c r="C183" s="62">
        <v>2011</v>
      </c>
      <c r="D183" s="1">
        <f>R183+F183+E183</f>
        <v>56</v>
      </c>
      <c r="G183" s="154"/>
      <c r="I183" s="205"/>
      <c r="J183" s="196"/>
      <c r="K183" s="186"/>
      <c r="L183" s="170"/>
      <c r="M183" s="50"/>
      <c r="N183" s="50"/>
      <c r="O183" s="219">
        <f>AA183</f>
        <v>56</v>
      </c>
      <c r="P183" s="120"/>
      <c r="Q183" s="96">
        <f>I183+J183+K183+L183+M183+N183+O183</f>
        <v>56</v>
      </c>
      <c r="R183" s="97">
        <f>IF(C183=2012, Q183/3,Q183)+P183</f>
        <v>56</v>
      </c>
      <c r="S183" s="237"/>
      <c r="T183" s="50"/>
      <c r="U183" s="50">
        <f>42</f>
        <v>42</v>
      </c>
      <c r="V183" s="50">
        <f>66</f>
        <v>66</v>
      </c>
      <c r="W183" s="50">
        <f>32</f>
        <v>32</v>
      </c>
      <c r="X183" s="50">
        <f>AL183</f>
        <v>28</v>
      </c>
      <c r="Y183" s="120"/>
      <c r="Z183" s="96">
        <f>SUM(T183:X183)</f>
        <v>168</v>
      </c>
      <c r="AA183" s="97">
        <f>IF(C183=2011, Z183/3,Z183)+Y183</f>
        <v>56</v>
      </c>
      <c r="AB183" s="22"/>
      <c r="AC183" s="41"/>
      <c r="AD183" s="41"/>
      <c r="AE183" s="41"/>
      <c r="AF183" s="41"/>
      <c r="AG183" s="41"/>
      <c r="AH183" s="41">
        <f>28</f>
        <v>28</v>
      </c>
      <c r="AJ183" s="95"/>
      <c r="AK183" s="96">
        <f>SUM(AC183:AI183)</f>
        <v>28</v>
      </c>
      <c r="AL183" s="97">
        <f>IF(C183=2015, AK183/3,AK183)+AJ183</f>
        <v>28</v>
      </c>
    </row>
    <row r="184" spans="1:38" x14ac:dyDescent="0.25">
      <c r="A184" s="11" t="s">
        <v>596</v>
      </c>
      <c r="B184" s="60" t="s">
        <v>587</v>
      </c>
      <c r="C184" s="62">
        <v>2009</v>
      </c>
      <c r="D184" s="1">
        <f>R184+F184+E184</f>
        <v>6</v>
      </c>
      <c r="E184" s="237"/>
      <c r="F184" s="237"/>
      <c r="G184" s="120"/>
      <c r="H184" s="237"/>
      <c r="I184" s="205"/>
      <c r="J184" s="196"/>
      <c r="K184" s="186"/>
      <c r="L184" s="170"/>
      <c r="M184" s="50"/>
      <c r="N184" s="50">
        <f>3</f>
        <v>3</v>
      </c>
      <c r="O184" s="219">
        <f>AA184</f>
        <v>3</v>
      </c>
      <c r="P184" s="120"/>
      <c r="Q184" s="96">
        <f>I184+J184+K184+L184+M184+N184+O184</f>
        <v>6</v>
      </c>
      <c r="R184" s="97">
        <f>IF(C184=2012, Q184/3,Q184)+P184</f>
        <v>6</v>
      </c>
      <c r="S184" s="22"/>
      <c r="T184" s="219"/>
      <c r="U184" s="50"/>
      <c r="V184" s="50"/>
      <c r="W184" s="50">
        <f>3</f>
        <v>3</v>
      </c>
      <c r="X184" s="50"/>
      <c r="Y184" s="120"/>
      <c r="Z184" s="96">
        <f>SUM(T184:X184)</f>
        <v>3</v>
      </c>
      <c r="AA184" s="97">
        <f>IF(C184=2011, Z184/3,Z184)+Y184</f>
        <v>3</v>
      </c>
      <c r="AB184" s="22"/>
      <c r="AC184" s="41"/>
      <c r="AD184" s="41"/>
      <c r="AE184" s="41"/>
      <c r="AF184" s="41"/>
      <c r="AG184" s="41"/>
      <c r="AH184" s="41"/>
      <c r="AJ184" s="95"/>
      <c r="AK184" s="96"/>
      <c r="AL184" s="97"/>
    </row>
    <row r="185" spans="1:38" x14ac:dyDescent="0.25">
      <c r="A185" s="11" t="s">
        <v>402</v>
      </c>
      <c r="B185" s="60" t="s">
        <v>111</v>
      </c>
      <c r="C185" s="62">
        <v>2010</v>
      </c>
      <c r="D185" s="1">
        <f>R185+F185+E185</f>
        <v>51.333333333333329</v>
      </c>
      <c r="G185" s="154"/>
      <c r="I185" s="205"/>
      <c r="J185" s="196"/>
      <c r="K185" s="186"/>
      <c r="L185" s="170"/>
      <c r="M185" s="50"/>
      <c r="N185" s="50"/>
      <c r="O185" s="219">
        <f>AA185</f>
        <v>51.333333333333329</v>
      </c>
      <c r="P185" s="120"/>
      <c r="Q185" s="96">
        <f>I185+J185+K185+L185+M185+N185+O185</f>
        <v>51.333333333333329</v>
      </c>
      <c r="R185" s="97">
        <f>IF(C185=2012, Q185/3,Q185)+P185</f>
        <v>51.333333333333329</v>
      </c>
      <c r="S185" s="22"/>
      <c r="T185" s="50">
        <f>0+8</f>
        <v>8</v>
      </c>
      <c r="U185" s="50">
        <f>5+9</f>
        <v>14</v>
      </c>
      <c r="V185" s="50">
        <f>0+5</f>
        <v>5</v>
      </c>
      <c r="W185" s="50"/>
      <c r="X185" s="50">
        <f>AL185</f>
        <v>24.333333333333332</v>
      </c>
      <c r="Y185" s="120"/>
      <c r="Z185" s="96">
        <f>SUM(T185:X185)</f>
        <v>51.333333333333329</v>
      </c>
      <c r="AA185" s="97">
        <f>IF(C185=2011, Z185/3,Z185)+Y185</f>
        <v>51.333333333333329</v>
      </c>
      <c r="AB185" s="22"/>
      <c r="AC185" s="41"/>
      <c r="AD185" s="41"/>
      <c r="AE185" s="41"/>
      <c r="AF185" s="41"/>
      <c r="AG185" s="41">
        <f>21+15</f>
        <v>36</v>
      </c>
      <c r="AH185" s="41">
        <f>37</f>
        <v>37</v>
      </c>
      <c r="AJ185" s="95"/>
      <c r="AK185" s="96">
        <f>SUM(AC185:AI185)</f>
        <v>73</v>
      </c>
      <c r="AL185" s="97">
        <f>IF(C185=2010, AK185/3,AK185)+AJ185</f>
        <v>24.333333333333332</v>
      </c>
    </row>
    <row r="186" spans="1:38" x14ac:dyDescent="0.25">
      <c r="A186" s="71" t="s">
        <v>281</v>
      </c>
      <c r="B186" s="19" t="s">
        <v>232</v>
      </c>
      <c r="C186" s="72">
        <v>2009</v>
      </c>
      <c r="D186" s="1">
        <f>R186+F186+E186</f>
        <v>23</v>
      </c>
      <c r="G186" s="154"/>
      <c r="I186" s="205"/>
      <c r="J186" s="196"/>
      <c r="K186" s="186"/>
      <c r="L186" s="170"/>
      <c r="M186" s="50"/>
      <c r="N186" s="50"/>
      <c r="O186" s="219">
        <f>AA186</f>
        <v>23</v>
      </c>
      <c r="P186" s="120"/>
      <c r="Q186" s="96">
        <f>I186+J186+K186+L186+M186+N186+O186</f>
        <v>23</v>
      </c>
      <c r="R186" s="97">
        <f>IF(C186=2012, Q186/3,Q186)+P186</f>
        <v>23</v>
      </c>
      <c r="S186" s="22"/>
      <c r="T186" s="50"/>
      <c r="U186" s="50"/>
      <c r="V186" s="50">
        <f>20</f>
        <v>20</v>
      </c>
      <c r="W186" s="50"/>
      <c r="X186" s="50">
        <f>AL186</f>
        <v>3</v>
      </c>
      <c r="Y186" s="120"/>
      <c r="Z186" s="96">
        <f>SUM(T186:X186)</f>
        <v>23</v>
      </c>
      <c r="AA186" s="97">
        <f>IF(C186=2011, Z186/3,Z186)+Y186</f>
        <v>23</v>
      </c>
      <c r="AB186" s="22"/>
      <c r="AE186" s="13">
        <v>3</v>
      </c>
      <c r="AJ186" s="95"/>
      <c r="AK186" s="96">
        <f>SUM(AC186:AI186)</f>
        <v>3</v>
      </c>
      <c r="AL186" s="97">
        <f>IF(C186=2010, AK186/3,AK186)+AJ186</f>
        <v>3</v>
      </c>
    </row>
    <row r="187" spans="1:38" x14ac:dyDescent="0.25">
      <c r="A187" s="71" t="s">
        <v>245</v>
      </c>
      <c r="B187" s="71" t="s">
        <v>232</v>
      </c>
      <c r="C187" s="72">
        <v>2012</v>
      </c>
      <c r="D187" s="1">
        <f>R187+F187+E187</f>
        <v>38</v>
      </c>
      <c r="G187" s="154"/>
      <c r="I187" s="205"/>
      <c r="J187" s="196"/>
      <c r="K187" s="186"/>
      <c r="L187" s="170"/>
      <c r="M187" s="50"/>
      <c r="N187" s="50"/>
      <c r="O187" s="219">
        <f>AA187</f>
        <v>114</v>
      </c>
      <c r="P187" s="120"/>
      <c r="Q187" s="96">
        <f>I187+J187+K187+L187+M187+N187+O187</f>
        <v>114</v>
      </c>
      <c r="R187" s="97">
        <f>IF(C187=2012, Q187/3,Q187)+P187</f>
        <v>38</v>
      </c>
      <c r="S187" s="238"/>
      <c r="T187" s="238"/>
      <c r="U187" s="50"/>
      <c r="V187" s="50">
        <f>78</f>
        <v>78</v>
      </c>
      <c r="W187" s="50"/>
      <c r="X187" s="50">
        <f>AL187</f>
        <v>36</v>
      </c>
      <c r="Y187" s="120"/>
      <c r="Z187" s="96">
        <f>SUM(T187:X187)</f>
        <v>114</v>
      </c>
      <c r="AA187" s="97">
        <f>IF(C187=2011, Z187/3,Z187)+Y187</f>
        <v>114</v>
      </c>
      <c r="AB187" s="22"/>
      <c r="AC187" s="205"/>
      <c r="AD187" s="205"/>
      <c r="AE187" s="205">
        <f>36</f>
        <v>36</v>
      </c>
      <c r="AF187" s="205"/>
      <c r="AG187" s="205"/>
      <c r="AH187" s="205"/>
      <c r="AI187" s="36"/>
      <c r="AJ187" s="95"/>
      <c r="AK187" s="96">
        <f>SUM(AC187:AI187)</f>
        <v>36</v>
      </c>
      <c r="AL187" s="97">
        <f>IF(C187=2015, AK187/3,AK187)+AJ187</f>
        <v>36</v>
      </c>
    </row>
    <row r="188" spans="1:38" x14ac:dyDescent="0.25">
      <c r="A188" s="71" t="s">
        <v>589</v>
      </c>
      <c r="B188" s="71" t="s">
        <v>587</v>
      </c>
      <c r="C188" s="72">
        <v>2011</v>
      </c>
      <c r="D188" s="1">
        <f>R188+F188+E188</f>
        <v>3</v>
      </c>
      <c r="G188" s="120"/>
      <c r="I188" s="205"/>
      <c r="J188" s="196"/>
      <c r="K188" s="186"/>
      <c r="L188" s="170"/>
      <c r="M188" s="50"/>
      <c r="N188" s="50"/>
      <c r="O188" s="219">
        <f>AA188</f>
        <v>3</v>
      </c>
      <c r="P188" s="120"/>
      <c r="Q188" s="96">
        <f>I188+J188+K188+L188+M188+N188+O188</f>
        <v>3</v>
      </c>
      <c r="R188" s="97">
        <f>IF(C188=2012, Q188/3,Q188)+P188</f>
        <v>3</v>
      </c>
      <c r="S188" s="237"/>
      <c r="T188" s="237"/>
      <c r="U188" s="50"/>
      <c r="V188" s="50"/>
      <c r="W188" s="50">
        <f>0</f>
        <v>0</v>
      </c>
      <c r="X188" s="50"/>
      <c r="Y188" s="120">
        <f>3</f>
        <v>3</v>
      </c>
      <c r="Z188" s="96">
        <f>SUM(T188:X188)</f>
        <v>0</v>
      </c>
      <c r="AA188" s="97">
        <f>IF(C188=2011, Z188/3,Z188)+Y188</f>
        <v>3</v>
      </c>
      <c r="AB188" s="22"/>
      <c r="AC188" s="219"/>
      <c r="AD188" s="219"/>
      <c r="AE188" s="219"/>
      <c r="AF188" s="219"/>
      <c r="AG188" s="219"/>
      <c r="AH188" s="219"/>
      <c r="AI188" s="36"/>
      <c r="AJ188" s="95"/>
      <c r="AK188" s="96"/>
      <c r="AL188" s="97"/>
    </row>
    <row r="189" spans="1:38" x14ac:dyDescent="0.25">
      <c r="A189" s="11" t="s">
        <v>771</v>
      </c>
      <c r="B189" s="60" t="s">
        <v>297</v>
      </c>
      <c r="C189" s="62">
        <v>2012</v>
      </c>
      <c r="D189" s="1">
        <f>R189+F189+E189</f>
        <v>25.666666666666668</v>
      </c>
      <c r="G189" s="154"/>
      <c r="I189" s="205"/>
      <c r="J189" s="196"/>
      <c r="K189" s="186">
        <f>15+3</f>
        <v>18</v>
      </c>
      <c r="L189" s="170">
        <f>43</f>
        <v>43</v>
      </c>
      <c r="M189" s="50"/>
      <c r="N189" s="50">
        <f>16</f>
        <v>16</v>
      </c>
      <c r="O189" s="219">
        <f>AA189</f>
        <v>0</v>
      </c>
      <c r="P189" s="154"/>
      <c r="Q189" s="96">
        <f>I189+J189+K189+L189+M189+N189+O189</f>
        <v>77</v>
      </c>
      <c r="R189" s="97">
        <f>IF(C189=2012, Q189/3,Q189)+P189</f>
        <v>25.666666666666668</v>
      </c>
      <c r="S189" s="238"/>
      <c r="T189" s="238"/>
      <c r="U189" s="205"/>
      <c r="V189" s="50"/>
      <c r="W189" s="50"/>
      <c r="X189" s="50"/>
      <c r="Y189" s="120"/>
      <c r="Z189" s="96">
        <f>SUM(T189:X189)</f>
        <v>0</v>
      </c>
      <c r="AA189" s="97">
        <f>IF(C189=2011, Z189/3,Z189)+Y189</f>
        <v>0</v>
      </c>
      <c r="AB189" s="22"/>
      <c r="AC189" s="153"/>
      <c r="AD189" s="153"/>
      <c r="AE189" s="153"/>
      <c r="AF189" s="153"/>
      <c r="AG189" s="153"/>
      <c r="AH189" s="153"/>
      <c r="AJ189" s="95"/>
      <c r="AK189" s="96"/>
      <c r="AL189" s="97"/>
    </row>
    <row r="190" spans="1:38" x14ac:dyDescent="0.25">
      <c r="A190" s="11" t="s">
        <v>754</v>
      </c>
      <c r="B190" s="60" t="s">
        <v>63</v>
      </c>
      <c r="C190" s="62">
        <v>2010</v>
      </c>
      <c r="D190" s="1">
        <f>R190+F190+E190</f>
        <v>23</v>
      </c>
      <c r="E190" s="237"/>
      <c r="F190" s="237"/>
      <c r="G190" s="154"/>
      <c r="H190" s="237"/>
      <c r="I190" s="205"/>
      <c r="J190" s="196">
        <f>10</f>
        <v>10</v>
      </c>
      <c r="K190" s="186">
        <f>4</f>
        <v>4</v>
      </c>
      <c r="L190" s="170">
        <f>2</f>
        <v>2</v>
      </c>
      <c r="M190" s="50">
        <f>4</f>
        <v>4</v>
      </c>
      <c r="N190" s="50">
        <f>0+3</f>
        <v>3</v>
      </c>
      <c r="O190" s="219">
        <f>AA190</f>
        <v>0</v>
      </c>
      <c r="P190" s="120"/>
      <c r="Q190" s="96">
        <f>I190+J190+K190+L190+M190+N190+O190</f>
        <v>23</v>
      </c>
      <c r="R190" s="97">
        <f>IF(C190=2012, Q190/3,Q190)+P190</f>
        <v>23</v>
      </c>
      <c r="S190" s="22"/>
      <c r="T190" s="219">
        <f>0</f>
        <v>0</v>
      </c>
      <c r="U190" s="50"/>
      <c r="V190" s="50"/>
      <c r="W190" s="50"/>
      <c r="X190" s="50"/>
      <c r="Y190" s="120"/>
      <c r="Z190" s="96">
        <f>SUM(T190:X190)</f>
        <v>0</v>
      </c>
      <c r="AA190" s="97">
        <f>IF(C190=2011, Z190/3,Z190)+Y190</f>
        <v>0</v>
      </c>
      <c r="AB190" s="22"/>
      <c r="AC190" s="41"/>
      <c r="AD190" s="41"/>
      <c r="AE190" s="41"/>
      <c r="AF190" s="41"/>
      <c r="AG190" s="41"/>
      <c r="AH190" s="41"/>
      <c r="AJ190" s="95"/>
      <c r="AK190" s="96"/>
      <c r="AL190" s="97"/>
    </row>
    <row r="191" spans="1:38" x14ac:dyDescent="0.25">
      <c r="A191" s="11" t="s">
        <v>93</v>
      </c>
      <c r="B191" s="61" t="s">
        <v>86</v>
      </c>
      <c r="C191" s="62">
        <v>2010</v>
      </c>
      <c r="D191" s="1">
        <f>R191+F191+E191</f>
        <v>13</v>
      </c>
      <c r="E191" s="108"/>
      <c r="F191" s="108"/>
      <c r="G191" s="122"/>
      <c r="H191" s="108"/>
      <c r="I191" s="205">
        <f>0</f>
        <v>0</v>
      </c>
      <c r="J191" s="196"/>
      <c r="K191" s="186"/>
      <c r="L191" s="170"/>
      <c r="M191" s="50"/>
      <c r="N191" s="50"/>
      <c r="O191" s="219">
        <f>AA191</f>
        <v>13</v>
      </c>
      <c r="P191" s="120"/>
      <c r="Q191" s="96">
        <f>I191+J191+K191+L191+M191+N191+O191</f>
        <v>13</v>
      </c>
      <c r="R191" s="97">
        <f>IF(C191=2012, Q191/3,Q191)+P191</f>
        <v>13</v>
      </c>
      <c r="S191" s="22"/>
      <c r="T191" s="50"/>
      <c r="U191" s="50"/>
      <c r="V191" s="50"/>
      <c r="W191" s="50"/>
      <c r="X191" s="50">
        <f>AL191</f>
        <v>13</v>
      </c>
      <c r="Y191" s="120"/>
      <c r="Z191" s="96">
        <f>SUM(T191:X191)</f>
        <v>13</v>
      </c>
      <c r="AA191" s="97">
        <f>IF(C191=2011, Z191/3,Z191)+Y191</f>
        <v>13</v>
      </c>
      <c r="AB191" s="22"/>
      <c r="AC191" s="191"/>
      <c r="AD191" s="191">
        <v>39</v>
      </c>
      <c r="AE191" s="191"/>
      <c r="AF191" s="191"/>
      <c r="AG191" s="191"/>
      <c r="AH191" s="191"/>
      <c r="AI191" s="36"/>
      <c r="AJ191" s="95"/>
      <c r="AK191" s="96">
        <f>SUM(AC191:AI191)</f>
        <v>39</v>
      </c>
      <c r="AL191" s="97">
        <f>IF(C191=2010, AK191/3,AK191)+AJ191</f>
        <v>13</v>
      </c>
    </row>
    <row r="192" spans="1:38" x14ac:dyDescent="0.25">
      <c r="A192" s="11" t="s">
        <v>745</v>
      </c>
      <c r="B192" s="60" t="s">
        <v>232</v>
      </c>
      <c r="C192" s="62">
        <v>2009</v>
      </c>
      <c r="D192" s="1">
        <f>R192+F192+E192</f>
        <v>10</v>
      </c>
      <c r="G192" s="154"/>
      <c r="I192" s="205"/>
      <c r="J192" s="196"/>
      <c r="K192" s="186"/>
      <c r="L192" s="170"/>
      <c r="M192" s="50"/>
      <c r="N192" s="50"/>
      <c r="O192" s="219">
        <f>AA192</f>
        <v>10</v>
      </c>
      <c r="P192" s="120"/>
      <c r="Q192" s="96">
        <f>I192+J192+K192+L192+M192+N192+O192</f>
        <v>10</v>
      </c>
      <c r="R192" s="97">
        <f>IF(C192=2012, Q192/3,Q192)+P192</f>
        <v>10</v>
      </c>
      <c r="S192" s="22"/>
      <c r="T192" s="219">
        <f>10</f>
        <v>10</v>
      </c>
      <c r="U192" s="50"/>
      <c r="V192" s="50"/>
      <c r="W192" s="50"/>
      <c r="X192" s="50"/>
      <c r="Y192" s="120"/>
      <c r="Z192" s="96">
        <f>SUM(T192:X192)</f>
        <v>10</v>
      </c>
      <c r="AA192" s="97">
        <f>IF(C192=2011, Z192/3,Z192)+Y192</f>
        <v>10</v>
      </c>
      <c r="AB192" s="22"/>
      <c r="AC192" s="41"/>
      <c r="AD192" s="41"/>
      <c r="AE192" s="41"/>
      <c r="AF192" s="41"/>
      <c r="AG192" s="41"/>
      <c r="AH192" s="41"/>
      <c r="AJ192" s="95"/>
      <c r="AK192" s="96"/>
      <c r="AL192" s="97"/>
    </row>
    <row r="193" spans="1:38" x14ac:dyDescent="0.25">
      <c r="A193" s="60" t="s">
        <v>176</v>
      </c>
      <c r="B193" s="85" t="s">
        <v>64</v>
      </c>
      <c r="C193" s="62">
        <v>2009</v>
      </c>
      <c r="D193" s="1">
        <f>R193+F193+E193</f>
        <v>254</v>
      </c>
      <c r="G193" s="154"/>
      <c r="I193" s="205"/>
      <c r="J193" s="196"/>
      <c r="K193" s="186"/>
      <c r="L193" s="170"/>
      <c r="M193" s="50">
        <f>24+3</f>
        <v>27</v>
      </c>
      <c r="N193" s="50">
        <f>24</f>
        <v>24</v>
      </c>
      <c r="O193" s="219">
        <f>AA193</f>
        <v>191</v>
      </c>
      <c r="P193" s="120">
        <f>3+6+3</f>
        <v>12</v>
      </c>
      <c r="Q193" s="96">
        <f>I193+J193+K193+L193+M193+N193+O193</f>
        <v>242</v>
      </c>
      <c r="R193" s="97">
        <f>IF(C193=2012, Q193/3,Q193)+P193</f>
        <v>254</v>
      </c>
      <c r="S193" s="22"/>
      <c r="T193" s="50"/>
      <c r="U193" s="50">
        <f>18</f>
        <v>18</v>
      </c>
      <c r="V193" s="50">
        <f>90</f>
        <v>90</v>
      </c>
      <c r="W193" s="50">
        <f>15+6</f>
        <v>21</v>
      </c>
      <c r="X193" s="50">
        <f>AL193</f>
        <v>62</v>
      </c>
      <c r="Y193" s="120"/>
      <c r="Z193" s="96">
        <f>SUM(T193:X193)</f>
        <v>191</v>
      </c>
      <c r="AA193" s="97">
        <f>IF(C193=2011, Z193/3,Z193)+Y193</f>
        <v>191</v>
      </c>
      <c r="AB193" s="22"/>
      <c r="AD193" s="13">
        <v>42</v>
      </c>
      <c r="AI193" s="13">
        <f>20</f>
        <v>20</v>
      </c>
      <c r="AJ193" s="95"/>
      <c r="AK193" s="96">
        <f>SUM(AC193:AI193)</f>
        <v>62</v>
      </c>
      <c r="AL193" s="97">
        <f>IF(C193=2010, AK193/3,AK193)+AJ193</f>
        <v>62</v>
      </c>
    </row>
    <row r="194" spans="1:38" x14ac:dyDescent="0.25">
      <c r="A194" s="11" t="s">
        <v>98</v>
      </c>
      <c r="B194" s="61" t="s">
        <v>87</v>
      </c>
      <c r="C194" s="62">
        <v>2010</v>
      </c>
      <c r="D194" s="1">
        <f>R194+F194+E194</f>
        <v>18</v>
      </c>
      <c r="E194" s="108"/>
      <c r="F194" s="108"/>
      <c r="G194" s="122"/>
      <c r="H194" s="108"/>
      <c r="I194" s="205"/>
      <c r="J194" s="196"/>
      <c r="K194" s="186"/>
      <c r="L194" s="170"/>
      <c r="M194" s="50"/>
      <c r="N194" s="50"/>
      <c r="O194" s="219">
        <f>AA194</f>
        <v>18</v>
      </c>
      <c r="P194" s="120"/>
      <c r="Q194" s="96">
        <f>I194+J194+K194+L194+M194+N194+O194</f>
        <v>18</v>
      </c>
      <c r="R194" s="97">
        <f>IF(C194=2012, Q194/3,Q194)+P194</f>
        <v>18</v>
      </c>
      <c r="S194" s="22"/>
      <c r="T194" s="237"/>
      <c r="U194" s="50"/>
      <c r="V194" s="50"/>
      <c r="W194" s="50"/>
      <c r="X194" s="50">
        <f>AL194</f>
        <v>18</v>
      </c>
      <c r="Y194" s="120"/>
      <c r="Z194" s="96">
        <f>SUM(T194:X194)</f>
        <v>18</v>
      </c>
      <c r="AA194" s="97">
        <f>IF(C194=2011, Z194/3,Z194)+Y194</f>
        <v>18</v>
      </c>
      <c r="AB194" s="22"/>
      <c r="AC194" s="219"/>
      <c r="AD194" s="219">
        <v>18</v>
      </c>
      <c r="AE194" s="219"/>
      <c r="AF194" s="219"/>
      <c r="AG194" s="219"/>
      <c r="AH194" s="219"/>
      <c r="AI194" s="36"/>
      <c r="AJ194" s="95">
        <f>12</f>
        <v>12</v>
      </c>
      <c r="AK194" s="96">
        <f>SUM(AC194:AI194)</f>
        <v>18</v>
      </c>
      <c r="AL194" s="97">
        <f>IF(C194=2010, AK194/3,AK194)+AJ194</f>
        <v>18</v>
      </c>
    </row>
    <row r="195" spans="1:38" x14ac:dyDescent="0.25">
      <c r="A195" s="60" t="s">
        <v>386</v>
      </c>
      <c r="B195" s="65" t="s">
        <v>380</v>
      </c>
      <c r="C195" s="62">
        <v>2009</v>
      </c>
      <c r="D195" s="1">
        <f>R195+F195+E195</f>
        <v>0</v>
      </c>
      <c r="G195" s="120"/>
      <c r="I195" s="205"/>
      <c r="J195" s="196"/>
      <c r="K195" s="186"/>
      <c r="L195" s="170"/>
      <c r="M195" s="50"/>
      <c r="N195" s="50"/>
      <c r="O195" s="219">
        <f>AA195</f>
        <v>0</v>
      </c>
      <c r="P195" s="120"/>
      <c r="Q195" s="96">
        <f>I195+J195+K195+L195+M195+N195+O195</f>
        <v>0</v>
      </c>
      <c r="R195" s="97">
        <f>IF(C195=2012, Q195/3,Q195)+P195</f>
        <v>0</v>
      </c>
      <c r="S195" s="22"/>
      <c r="T195" s="50"/>
      <c r="U195" s="50"/>
      <c r="V195" s="50"/>
      <c r="W195" s="50"/>
      <c r="X195" s="50">
        <f>AL195</f>
        <v>0</v>
      </c>
      <c r="Y195" s="120"/>
      <c r="Z195" s="96">
        <f>SUM(T195:X195)</f>
        <v>0</v>
      </c>
      <c r="AA195" s="97">
        <f>IF(C195=2011, Z195/3,Z195)+Y195</f>
        <v>0</v>
      </c>
      <c r="AB195" s="22"/>
      <c r="AF195" s="13">
        <f>0</f>
        <v>0</v>
      </c>
      <c r="AJ195" s="95"/>
      <c r="AK195" s="96">
        <f>SUM(AC195:AI195)</f>
        <v>0</v>
      </c>
      <c r="AL195" s="97">
        <f>IF(C195=2010, AK195/3,AK195)+AJ195</f>
        <v>0</v>
      </c>
    </row>
    <row r="196" spans="1:38" x14ac:dyDescent="0.25">
      <c r="A196" s="11" t="s">
        <v>594</v>
      </c>
      <c r="B196" s="61" t="s">
        <v>587</v>
      </c>
      <c r="C196" s="62">
        <v>2009</v>
      </c>
      <c r="D196" s="1">
        <f>R196+F196+E196</f>
        <v>6</v>
      </c>
      <c r="G196" s="154"/>
      <c r="I196" s="205"/>
      <c r="J196" s="196"/>
      <c r="K196" s="186"/>
      <c r="L196" s="170"/>
      <c r="M196" s="50"/>
      <c r="N196" s="50">
        <f>3</f>
        <v>3</v>
      </c>
      <c r="O196" s="219">
        <f>AA196</f>
        <v>3</v>
      </c>
      <c r="P196" s="120"/>
      <c r="Q196" s="96">
        <f>I196+J196+K196+L196+M196+N196+O196</f>
        <v>6</v>
      </c>
      <c r="R196" s="97">
        <f>IF(C196=2012, Q196/3,Q196)+P196</f>
        <v>6</v>
      </c>
      <c r="S196" s="22"/>
      <c r="T196" s="237"/>
      <c r="U196" s="50"/>
      <c r="V196" s="50"/>
      <c r="W196" s="50">
        <f>3</f>
        <v>3</v>
      </c>
      <c r="X196" s="50"/>
      <c r="Y196" s="120"/>
      <c r="Z196" s="96">
        <f>SUM(T196:X196)</f>
        <v>3</v>
      </c>
      <c r="AA196" s="97">
        <f>IF(C196=2011, Z196/3,Z196)+Y196</f>
        <v>3</v>
      </c>
      <c r="AB196" s="22"/>
      <c r="AC196" s="205"/>
      <c r="AD196" s="205"/>
      <c r="AE196" s="205"/>
      <c r="AF196" s="205"/>
      <c r="AG196" s="205"/>
      <c r="AH196" s="205"/>
      <c r="AI196" s="36"/>
      <c r="AJ196" s="95"/>
      <c r="AK196" s="96"/>
      <c r="AL196" s="97"/>
    </row>
    <row r="197" spans="1:38" x14ac:dyDescent="0.25">
      <c r="A197" s="11" t="s">
        <v>307</v>
      </c>
      <c r="B197" s="61" t="s">
        <v>0</v>
      </c>
      <c r="C197" s="62">
        <v>2010</v>
      </c>
      <c r="D197" s="1">
        <f>R197+F197+E197</f>
        <v>84.333333333333343</v>
      </c>
      <c r="G197" s="154"/>
      <c r="I197" s="205"/>
      <c r="J197" s="196"/>
      <c r="K197" s="186">
        <f>10</f>
        <v>10</v>
      </c>
      <c r="L197" s="170">
        <f>24</f>
        <v>24</v>
      </c>
      <c r="M197" s="50">
        <f>6</f>
        <v>6</v>
      </c>
      <c r="N197" s="50">
        <f>0+3</f>
        <v>3</v>
      </c>
      <c r="O197" s="219">
        <f>AA197</f>
        <v>38.333333333333336</v>
      </c>
      <c r="P197" s="120">
        <f>3</f>
        <v>3</v>
      </c>
      <c r="Q197" s="96">
        <f>I197+J197+K197+L197+M197+N197+O197</f>
        <v>81.333333333333343</v>
      </c>
      <c r="R197" s="97">
        <f>IF(C197=2012, Q197/3,Q197)+P197</f>
        <v>84.333333333333343</v>
      </c>
      <c r="S197" s="22"/>
      <c r="T197" s="50">
        <f>8</f>
        <v>8</v>
      </c>
      <c r="U197" s="50">
        <f>10</f>
        <v>10</v>
      </c>
      <c r="V197" s="50">
        <f>10</f>
        <v>10</v>
      </c>
      <c r="W197" s="50"/>
      <c r="X197" s="50">
        <f>AL197</f>
        <v>10.333333333333334</v>
      </c>
      <c r="Y197" s="120"/>
      <c r="Z197" s="96">
        <f>SUM(T197:X197)</f>
        <v>38.333333333333336</v>
      </c>
      <c r="AA197" s="97">
        <f>IF(C197=2011, Z197/3,Z197)+Y197</f>
        <v>38.333333333333336</v>
      </c>
      <c r="AB197" s="22"/>
      <c r="AC197" s="237"/>
      <c r="AD197" s="237"/>
      <c r="AE197" s="237"/>
      <c r="AF197" s="237">
        <f>28</f>
        <v>28</v>
      </c>
      <c r="AG197" s="237"/>
      <c r="AH197" s="237">
        <f>3</f>
        <v>3</v>
      </c>
      <c r="AI197" s="240"/>
      <c r="AJ197" s="95"/>
      <c r="AK197" s="96">
        <f>SUM(AC197:AI197)</f>
        <v>31</v>
      </c>
      <c r="AL197" s="97">
        <f>IF(C197=2010, AK197/3,AK197)+AJ197</f>
        <v>10.333333333333334</v>
      </c>
    </row>
    <row r="198" spans="1:38" x14ac:dyDescent="0.25">
      <c r="A198" s="11" t="s">
        <v>726</v>
      </c>
      <c r="B198" s="60" t="s">
        <v>0</v>
      </c>
      <c r="C198" s="62">
        <v>2012</v>
      </c>
      <c r="D198" s="1">
        <f>R198+F198+E198</f>
        <v>0</v>
      </c>
      <c r="E198" s="237"/>
      <c r="F198" s="237"/>
      <c r="G198" s="120"/>
      <c r="H198" s="237"/>
      <c r="I198" s="205"/>
      <c r="J198" s="196"/>
      <c r="K198" s="186"/>
      <c r="L198" s="170"/>
      <c r="M198" s="50"/>
      <c r="N198" s="50"/>
      <c r="O198" s="219">
        <f>AA198</f>
        <v>0</v>
      </c>
      <c r="P198" s="154"/>
      <c r="Q198" s="96">
        <f>I198+J198+K198+L198+M198+N198+O198</f>
        <v>0</v>
      </c>
      <c r="R198" s="97">
        <f>IF(C198=2012, Q198/3,Q198)+P198</f>
        <v>0</v>
      </c>
      <c r="S198" s="238"/>
      <c r="T198" s="238"/>
      <c r="U198" s="50"/>
      <c r="V198" s="50"/>
      <c r="W198" s="50"/>
      <c r="X198" s="50"/>
      <c r="Y198" s="120"/>
      <c r="Z198" s="96">
        <f>SUM(T198:X198)</f>
        <v>0</v>
      </c>
      <c r="AA198" s="97">
        <f>IF(C198=2011, Z198/3,Z198)+Y198</f>
        <v>0</v>
      </c>
      <c r="AB198" s="22"/>
      <c r="AC198" s="237"/>
      <c r="AD198" s="237"/>
      <c r="AE198" s="237"/>
      <c r="AF198" s="237"/>
      <c r="AG198" s="237"/>
      <c r="AH198" s="237"/>
      <c r="AI198" s="240"/>
      <c r="AJ198" s="95"/>
      <c r="AK198" s="96">
        <f>SUM(AC198:AI198)</f>
        <v>0</v>
      </c>
      <c r="AL198" s="97">
        <f>IF(C198=2015, AK198/3,AK198)+AJ198</f>
        <v>0</v>
      </c>
    </row>
    <row r="199" spans="1:38" x14ac:dyDescent="0.25">
      <c r="A199" s="71" t="s">
        <v>282</v>
      </c>
      <c r="B199" s="19" t="s">
        <v>232</v>
      </c>
      <c r="C199" s="72">
        <v>2009</v>
      </c>
      <c r="D199" s="1">
        <f>R199+F199+E199</f>
        <v>0</v>
      </c>
      <c r="G199" s="120"/>
      <c r="I199" s="205"/>
      <c r="J199" s="196"/>
      <c r="K199" s="186"/>
      <c r="L199" s="170"/>
      <c r="M199" s="50"/>
      <c r="N199" s="50"/>
      <c r="O199" s="219">
        <f>AA199</f>
        <v>0</v>
      </c>
      <c r="P199" s="120"/>
      <c r="Q199" s="96">
        <f>I199+J199+K199+L199+M199+N199+O199</f>
        <v>0</v>
      </c>
      <c r="R199" s="97">
        <f>IF(C199=2012, Q199/3,Q199)+P199</f>
        <v>0</v>
      </c>
      <c r="S199" s="22"/>
      <c r="T199" s="50"/>
      <c r="U199" s="50"/>
      <c r="V199" s="50"/>
      <c r="W199" s="50"/>
      <c r="X199" s="50">
        <f>AL199</f>
        <v>0</v>
      </c>
      <c r="Y199" s="120"/>
      <c r="Z199" s="96">
        <f>SUM(T199:X199)</f>
        <v>0</v>
      </c>
      <c r="AA199" s="97">
        <f>IF(C199=2011, Z199/3,Z199)+Y199</f>
        <v>0</v>
      </c>
      <c r="AB199" s="22"/>
      <c r="AE199" s="13">
        <v>0</v>
      </c>
      <c r="AJ199" s="95"/>
      <c r="AK199" s="96">
        <f>SUM(AC199:AI199)</f>
        <v>0</v>
      </c>
      <c r="AL199" s="97">
        <f>IF(C199=2010, AK199/3,AK199)+AJ199</f>
        <v>0</v>
      </c>
    </row>
    <row r="200" spans="1:38" x14ac:dyDescent="0.25">
      <c r="A200" s="11" t="s">
        <v>95</v>
      </c>
      <c r="B200" s="61" t="s">
        <v>63</v>
      </c>
      <c r="C200" s="62">
        <v>2011</v>
      </c>
      <c r="D200" s="1">
        <f>R200+F200+E200</f>
        <v>109.33333333333333</v>
      </c>
      <c r="E200" s="156"/>
      <c r="F200" s="156"/>
      <c r="G200" s="122"/>
      <c r="H200" s="156"/>
      <c r="I200" s="219"/>
      <c r="J200" s="219"/>
      <c r="K200" s="219">
        <f>0</f>
        <v>0</v>
      </c>
      <c r="L200" s="219">
        <f>0+6</f>
        <v>6</v>
      </c>
      <c r="M200" s="219">
        <f>0+6</f>
        <v>6</v>
      </c>
      <c r="N200" s="219">
        <f>0+9</f>
        <v>9</v>
      </c>
      <c r="O200" s="219">
        <f>AA200</f>
        <v>88.333333333333329</v>
      </c>
      <c r="P200" s="120"/>
      <c r="Q200" s="96">
        <f>I200+J200+K200+L200+M200+N200+O200</f>
        <v>109.33333333333333</v>
      </c>
      <c r="R200" s="97">
        <f>IF(C200=2012, Q200/3,Q200)+P200</f>
        <v>109.33333333333333</v>
      </c>
      <c r="S200" s="219"/>
      <c r="T200" s="219">
        <f>0</f>
        <v>0</v>
      </c>
      <c r="U200" s="50"/>
      <c r="V200" s="50">
        <f>32+33</f>
        <v>65</v>
      </c>
      <c r="W200" s="50">
        <f>16+45</f>
        <v>61</v>
      </c>
      <c r="X200" s="50">
        <f>AL200</f>
        <v>139</v>
      </c>
      <c r="Y200" s="120"/>
      <c r="Z200" s="96">
        <f>SUM(T200:X200)</f>
        <v>265</v>
      </c>
      <c r="AA200" s="97">
        <f>IF(C200=2011, Z200/3,Z200)+Y200</f>
        <v>88.333333333333329</v>
      </c>
      <c r="AB200" s="22"/>
      <c r="AC200" s="219"/>
      <c r="AD200" s="219">
        <f>33+3</f>
        <v>36</v>
      </c>
      <c r="AE200" s="219"/>
      <c r="AF200" s="219">
        <f>27+6</f>
        <v>33</v>
      </c>
      <c r="AG200" s="219"/>
      <c r="AH200" s="219">
        <f>32+15</f>
        <v>47</v>
      </c>
      <c r="AI200" s="36">
        <f>23</f>
        <v>23</v>
      </c>
      <c r="AJ200" s="95"/>
      <c r="AK200" s="96">
        <f>SUM(AC200:AI200)</f>
        <v>139</v>
      </c>
      <c r="AL200" s="97">
        <f>IF(C200=2015, AK200/3,AK200)+AJ200</f>
        <v>139</v>
      </c>
    </row>
    <row r="201" spans="1:38" x14ac:dyDescent="0.25">
      <c r="A201" s="11" t="s">
        <v>97</v>
      </c>
      <c r="B201" s="60" t="s">
        <v>64</v>
      </c>
      <c r="C201" s="62">
        <v>2011</v>
      </c>
      <c r="D201" s="1">
        <f>R201+F201+E201</f>
        <v>113</v>
      </c>
      <c r="G201" s="154"/>
      <c r="I201" s="205"/>
      <c r="J201" s="196"/>
      <c r="K201" s="186"/>
      <c r="L201" s="170"/>
      <c r="M201" s="50">
        <f>9+3</f>
        <v>12</v>
      </c>
      <c r="N201" s="50">
        <f>24</f>
        <v>24</v>
      </c>
      <c r="O201" s="219">
        <f>AA201</f>
        <v>71</v>
      </c>
      <c r="P201" s="120">
        <f>6</f>
        <v>6</v>
      </c>
      <c r="Q201" s="96">
        <f>I201+J201+K201+L201+M201+N201+O201</f>
        <v>107</v>
      </c>
      <c r="R201" s="97">
        <f>IF(C201=2012, Q201/3,Q201)+P201</f>
        <v>113</v>
      </c>
      <c r="S201" s="237"/>
      <c r="T201" s="50"/>
      <c r="U201" s="50"/>
      <c r="V201" s="50">
        <f>162</f>
        <v>162</v>
      </c>
      <c r="W201" s="50">
        <f>0</f>
        <v>0</v>
      </c>
      <c r="X201" s="50">
        <f>AL201</f>
        <v>33</v>
      </c>
      <c r="Y201" s="120">
        <f>6</f>
        <v>6</v>
      </c>
      <c r="Z201" s="96">
        <f>SUM(T201:X201)</f>
        <v>195</v>
      </c>
      <c r="AA201" s="97">
        <f>IF(C201=2011, Z201/3,Z201)+Y201</f>
        <v>71</v>
      </c>
      <c r="AB201" s="22"/>
      <c r="AC201" s="237"/>
      <c r="AD201" s="237">
        <v>18</v>
      </c>
      <c r="AE201" s="237"/>
      <c r="AF201" s="237"/>
      <c r="AG201" s="237"/>
      <c r="AH201" s="237"/>
      <c r="AI201" s="240">
        <f>15</f>
        <v>15</v>
      </c>
      <c r="AJ201" s="95"/>
      <c r="AK201" s="96">
        <f>SUM(AC201:AI201)</f>
        <v>33</v>
      </c>
      <c r="AL201" s="97">
        <f>IF(C201=2015, AK201/3,AK201)+AJ201</f>
        <v>33</v>
      </c>
    </row>
    <row r="202" spans="1:38" x14ac:dyDescent="0.25">
      <c r="A202" s="60" t="s">
        <v>755</v>
      </c>
      <c r="B202" s="65" t="s">
        <v>63</v>
      </c>
      <c r="C202" s="62">
        <v>2010</v>
      </c>
      <c r="D202" s="1">
        <f>R202+F202+E202</f>
        <v>26</v>
      </c>
      <c r="E202" s="237"/>
      <c r="F202" s="237"/>
      <c r="G202" s="154"/>
      <c r="H202" s="237"/>
      <c r="I202" s="205"/>
      <c r="J202" s="196"/>
      <c r="K202" s="186">
        <f>3</f>
        <v>3</v>
      </c>
      <c r="L202" s="170">
        <f>10+2</f>
        <v>12</v>
      </c>
      <c r="M202" s="50"/>
      <c r="N202" s="50">
        <f>8+3</f>
        <v>11</v>
      </c>
      <c r="O202" s="219">
        <f>AA202</f>
        <v>0</v>
      </c>
      <c r="P202" s="120"/>
      <c r="Q202" s="96">
        <f>I202+J202+K202+L202+M202+N202+O202</f>
        <v>26</v>
      </c>
      <c r="R202" s="97">
        <f>IF(C202=2012, Q202/3,Q202)+P202</f>
        <v>26</v>
      </c>
      <c r="S202" s="22"/>
      <c r="T202" s="50">
        <f>0</f>
        <v>0</v>
      </c>
      <c r="U202" s="50"/>
      <c r="V202" s="50"/>
      <c r="W202" s="50"/>
      <c r="X202" s="50"/>
      <c r="Y202" s="120"/>
      <c r="Z202" s="96">
        <f>SUM(T202:X202)</f>
        <v>0</v>
      </c>
      <c r="AA202" s="97">
        <f>IF(C202=2011, Z202/3,Z202)+Y202</f>
        <v>0</v>
      </c>
      <c r="AB202" s="22"/>
      <c r="AJ202" s="95"/>
      <c r="AK202" s="96"/>
      <c r="AL202" s="97"/>
    </row>
    <row r="203" spans="1:38" x14ac:dyDescent="0.25">
      <c r="A203" s="60" t="s">
        <v>815</v>
      </c>
      <c r="B203" s="65" t="s">
        <v>587</v>
      </c>
      <c r="C203" s="62">
        <v>2011</v>
      </c>
      <c r="D203" s="1">
        <f>R203+F203+E203</f>
        <v>12</v>
      </c>
      <c r="G203" s="154"/>
      <c r="I203" s="205"/>
      <c r="J203" s="196"/>
      <c r="K203" s="186"/>
      <c r="L203" s="170"/>
      <c r="M203" s="50"/>
      <c r="N203" s="50">
        <f>12</f>
        <v>12</v>
      </c>
      <c r="O203" s="219">
        <f>AA203</f>
        <v>0</v>
      </c>
      <c r="P203" s="120"/>
      <c r="Q203" s="96">
        <f>I203+J203+K203+L203+M203+N203+O203</f>
        <v>12</v>
      </c>
      <c r="R203" s="97">
        <f>IF(C203=2012, Q203/3,Q203)+P203</f>
        <v>12</v>
      </c>
      <c r="S203" s="22"/>
      <c r="T203" s="50"/>
      <c r="U203" s="50"/>
      <c r="V203" s="50"/>
      <c r="W203" s="50"/>
      <c r="X203" s="50"/>
      <c r="Y203" s="120"/>
      <c r="Z203" s="96">
        <f>SUM(T203:X203)</f>
        <v>0</v>
      </c>
      <c r="AA203" s="97"/>
      <c r="AB203" s="22"/>
      <c r="AJ203" s="95"/>
      <c r="AK203" s="96"/>
      <c r="AL203" s="97"/>
    </row>
    <row r="204" spans="1:38" x14ac:dyDescent="0.25">
      <c r="A204" s="71" t="s">
        <v>606</v>
      </c>
      <c r="B204" s="71" t="s">
        <v>232</v>
      </c>
      <c r="C204" s="72">
        <v>2012</v>
      </c>
      <c r="D204" s="1">
        <f>R204+F204+E204</f>
        <v>67</v>
      </c>
      <c r="E204" s="233">
        <f>9+12</f>
        <v>21</v>
      </c>
      <c r="F204" s="219">
        <f>10+9</f>
        <v>19</v>
      </c>
      <c r="G204" s="154"/>
      <c r="I204" s="237"/>
      <c r="J204" s="237"/>
      <c r="K204" s="237"/>
      <c r="L204" s="237"/>
      <c r="M204" s="237"/>
      <c r="N204" s="237"/>
      <c r="O204" s="219">
        <f>AA204</f>
        <v>81</v>
      </c>
      <c r="P204" s="154"/>
      <c r="Q204" s="96">
        <f>I204+J204+K204+L204+M204+N204+O204</f>
        <v>81</v>
      </c>
      <c r="R204" s="97">
        <f>IF(C204=2012, Q204/3,Q204)+P204</f>
        <v>27</v>
      </c>
      <c r="S204" s="209"/>
      <c r="T204" s="209"/>
      <c r="U204" s="50">
        <f>30</f>
        <v>30</v>
      </c>
      <c r="V204" s="50">
        <f>51</f>
        <v>51</v>
      </c>
      <c r="W204" s="50"/>
      <c r="X204" s="50"/>
      <c r="Y204" s="120"/>
      <c r="Z204" s="96">
        <f>SUM(T204:X204)</f>
        <v>81</v>
      </c>
      <c r="AA204" s="97">
        <f>IF(C204=2011, Z204/3,Z204)+Y204</f>
        <v>81</v>
      </c>
      <c r="AB204" s="22"/>
      <c r="AC204" s="237"/>
      <c r="AD204" s="237"/>
      <c r="AE204" s="237"/>
      <c r="AF204" s="237"/>
      <c r="AG204" s="237"/>
      <c r="AH204" s="237"/>
      <c r="AI204" s="240"/>
      <c r="AJ204" s="95"/>
      <c r="AK204" s="96">
        <f>SUM(AC204:AI204)</f>
        <v>0</v>
      </c>
      <c r="AL204" s="97">
        <f>IF(C204=2015, AK204/3,AK204)+AJ204</f>
        <v>0</v>
      </c>
    </row>
    <row r="205" spans="1:38" x14ac:dyDescent="0.25">
      <c r="A205" s="71" t="s">
        <v>548</v>
      </c>
      <c r="B205" s="71" t="s">
        <v>232</v>
      </c>
      <c r="C205" s="72">
        <v>2011</v>
      </c>
      <c r="D205" s="1">
        <f>R205+F205+E205</f>
        <v>142.33333333333334</v>
      </c>
      <c r="E205" s="233">
        <f>18+12</f>
        <v>30</v>
      </c>
      <c r="F205" s="219">
        <f>8+9</f>
        <v>17</v>
      </c>
      <c r="G205" s="120"/>
      <c r="I205" s="205"/>
      <c r="J205" s="196"/>
      <c r="K205" s="186"/>
      <c r="L205" s="170"/>
      <c r="M205" s="50"/>
      <c r="N205" s="50">
        <f>40</f>
        <v>40</v>
      </c>
      <c r="O205" s="219">
        <f>AA205</f>
        <v>55.333333333333336</v>
      </c>
      <c r="P205" s="120"/>
      <c r="Q205" s="96">
        <f>I205+J205+K205+L205+M205+N205+O205</f>
        <v>95.333333333333343</v>
      </c>
      <c r="R205" s="97">
        <f>IF(C205=2012, Q205/3,Q205)+P205</f>
        <v>95.333333333333343</v>
      </c>
      <c r="S205" s="237"/>
      <c r="T205" s="50">
        <f>28</f>
        <v>28</v>
      </c>
      <c r="U205" s="50">
        <f>45</f>
        <v>45</v>
      </c>
      <c r="V205" s="50">
        <f>53</f>
        <v>53</v>
      </c>
      <c r="W205" s="50">
        <f>40</f>
        <v>40</v>
      </c>
      <c r="X205" s="50"/>
      <c r="Y205" s="120"/>
      <c r="Z205" s="96">
        <f>SUM(T205:X205)</f>
        <v>166</v>
      </c>
      <c r="AA205" s="97">
        <f>IF(C205=2011, Z205/3,Z205)+Y205</f>
        <v>55.333333333333336</v>
      </c>
      <c r="AB205" s="22"/>
      <c r="AC205" s="219"/>
      <c r="AD205" s="219"/>
      <c r="AE205" s="219"/>
      <c r="AF205" s="219"/>
      <c r="AG205" s="219"/>
      <c r="AH205" s="219"/>
      <c r="AI205" s="36"/>
      <c r="AJ205" s="95"/>
      <c r="AK205" s="96"/>
      <c r="AL205" s="97"/>
    </row>
    <row r="206" spans="1:38" x14ac:dyDescent="0.25">
      <c r="A206" s="11" t="s">
        <v>90</v>
      </c>
      <c r="B206" s="64" t="s">
        <v>85</v>
      </c>
      <c r="C206" s="62">
        <v>2012</v>
      </c>
      <c r="D206" s="1">
        <f>R206+F206+E206</f>
        <v>143.66666666666666</v>
      </c>
      <c r="G206" s="154"/>
      <c r="I206" s="205"/>
      <c r="J206" s="196">
        <f>63+9</f>
        <v>72</v>
      </c>
      <c r="K206" s="186"/>
      <c r="L206" s="170"/>
      <c r="M206" s="50"/>
      <c r="N206" s="50"/>
      <c r="O206" s="219">
        <f>AA206</f>
        <v>359</v>
      </c>
      <c r="P206" s="120"/>
      <c r="Q206" s="96">
        <f>I206+J206+K206+L206+M206+N206+O206</f>
        <v>431</v>
      </c>
      <c r="R206" s="97">
        <f>IF(C206=2012, Q206/3,Q206)+P206</f>
        <v>143.66666666666666</v>
      </c>
      <c r="S206" s="238"/>
      <c r="T206" s="238"/>
      <c r="U206" s="50">
        <f>78+48</f>
        <v>126</v>
      </c>
      <c r="V206" s="50">
        <f>135+45</f>
        <v>180</v>
      </c>
      <c r="W206" s="50"/>
      <c r="X206" s="50">
        <f>AL206</f>
        <v>53</v>
      </c>
      <c r="Y206" s="120"/>
      <c r="Z206" s="96">
        <f>SUM(T206:X206)</f>
        <v>359</v>
      </c>
      <c r="AA206" s="97">
        <f>IF(C206=2011, Z206/3,Z206)+Y206</f>
        <v>359</v>
      </c>
      <c r="AB206" s="22"/>
      <c r="AC206" s="237"/>
      <c r="AD206" s="237">
        <v>48</v>
      </c>
      <c r="AE206" s="237"/>
      <c r="AF206" s="237"/>
      <c r="AG206" s="237"/>
      <c r="AH206" s="237"/>
      <c r="AI206" s="240">
        <f>5</f>
        <v>5</v>
      </c>
      <c r="AJ206" s="95"/>
      <c r="AK206" s="96">
        <f>SUM(AC206:AI206)</f>
        <v>53</v>
      </c>
      <c r="AL206" s="97">
        <f>IF(C206=2015, AK206/3,AK206)+AJ206</f>
        <v>53</v>
      </c>
    </row>
    <row r="207" spans="1:38" ht="16.5" customHeight="1" x14ac:dyDescent="0.25">
      <c r="A207" s="60" t="s">
        <v>579</v>
      </c>
      <c r="B207" s="65" t="s">
        <v>64</v>
      </c>
      <c r="C207" s="62">
        <v>2009</v>
      </c>
      <c r="D207" s="1">
        <f>R207+F207+E207</f>
        <v>63</v>
      </c>
      <c r="G207" s="120"/>
      <c r="I207" s="205"/>
      <c r="J207" s="196"/>
      <c r="K207" s="186"/>
      <c r="L207" s="170"/>
      <c r="M207" s="50"/>
      <c r="N207" s="50">
        <f>0</f>
        <v>0</v>
      </c>
      <c r="O207" s="219">
        <f>AA207</f>
        <v>57</v>
      </c>
      <c r="P207" s="120">
        <f>6</f>
        <v>6</v>
      </c>
      <c r="Q207" s="96">
        <f>I207+J207+K207+L207+M207+N207+O207</f>
        <v>57</v>
      </c>
      <c r="R207" s="97">
        <f>IF(C207=2012, Q207/3,Q207)+P207</f>
        <v>63</v>
      </c>
      <c r="S207" s="22"/>
      <c r="T207" s="50"/>
      <c r="U207" s="50">
        <f>0</f>
        <v>0</v>
      </c>
      <c r="V207" s="50">
        <f>39</f>
        <v>39</v>
      </c>
      <c r="W207" s="50">
        <f>12+6</f>
        <v>18</v>
      </c>
      <c r="X207" s="50"/>
      <c r="Y207" s="120"/>
      <c r="Z207" s="96">
        <f>SUM(T207:X207)</f>
        <v>57</v>
      </c>
      <c r="AA207" s="97">
        <f>IF(C207=2011, Z207/3,Z207)+Y207</f>
        <v>57</v>
      </c>
      <c r="AB207" s="22"/>
      <c r="AJ207" s="95"/>
      <c r="AK207" s="96"/>
      <c r="AL207" s="97"/>
    </row>
    <row r="208" spans="1:38" x14ac:dyDescent="0.25">
      <c r="A208" s="60" t="s">
        <v>743</v>
      </c>
      <c r="B208" s="65" t="s">
        <v>63</v>
      </c>
      <c r="C208" s="62">
        <v>2009</v>
      </c>
      <c r="D208" s="1">
        <f>R208+F208+E208</f>
        <v>115</v>
      </c>
      <c r="E208" s="156"/>
      <c r="F208" s="156"/>
      <c r="G208" s="154"/>
      <c r="H208" s="156"/>
      <c r="I208" s="205"/>
      <c r="J208" s="196"/>
      <c r="K208" s="186">
        <f>5+1</f>
        <v>6</v>
      </c>
      <c r="L208" s="170">
        <f>20+4+1+6</f>
        <v>31</v>
      </c>
      <c r="M208" s="50">
        <f>17+6</f>
        <v>23</v>
      </c>
      <c r="N208" s="50">
        <f>24+6+9</f>
        <v>39</v>
      </c>
      <c r="O208" s="219">
        <f>AA208</f>
        <v>16</v>
      </c>
      <c r="P208" s="120"/>
      <c r="Q208" s="96">
        <f>I208+J208+K208+L208+M208+N208+O208</f>
        <v>115</v>
      </c>
      <c r="R208" s="97">
        <f>IF(C208=2012, Q208/3,Q208)+P208</f>
        <v>115</v>
      </c>
      <c r="S208" s="22"/>
      <c r="T208" s="237">
        <f>14+2</f>
        <v>16</v>
      </c>
      <c r="U208" s="50"/>
      <c r="V208" s="50"/>
      <c r="W208" s="50"/>
      <c r="X208" s="50"/>
      <c r="Y208" s="120"/>
      <c r="Z208" s="96">
        <f>SUM(T208:X208)</f>
        <v>16</v>
      </c>
      <c r="AA208" s="97">
        <f>IF(C208=2011, Z208/3,Z208)+Y208</f>
        <v>16</v>
      </c>
      <c r="AB208" s="22"/>
      <c r="AJ208" s="95"/>
      <c r="AK208" s="96"/>
      <c r="AL208" s="97"/>
    </row>
    <row r="209" spans="1:38" x14ac:dyDescent="0.25">
      <c r="A209" s="60" t="s">
        <v>595</v>
      </c>
      <c r="B209" s="65" t="s">
        <v>587</v>
      </c>
      <c r="C209" s="62">
        <v>2010</v>
      </c>
      <c r="D209" s="1">
        <f>R209+F209+E209</f>
        <v>3</v>
      </c>
      <c r="E209" s="237"/>
      <c r="F209" s="237"/>
      <c r="G209" s="154"/>
      <c r="H209" s="237"/>
      <c r="I209" s="205"/>
      <c r="J209" s="196"/>
      <c r="K209" s="186"/>
      <c r="L209" s="170"/>
      <c r="M209" s="50"/>
      <c r="N209" s="50"/>
      <c r="O209" s="219">
        <f>AA209</f>
        <v>3</v>
      </c>
      <c r="P209" s="120"/>
      <c r="Q209" s="96">
        <f>I209+J209+K209+L209+M209+N209+O209</f>
        <v>3</v>
      </c>
      <c r="R209" s="97">
        <f>IF(C209=2012, Q209/3,Q209)+P209</f>
        <v>3</v>
      </c>
      <c r="S209" s="22"/>
      <c r="T209" s="50"/>
      <c r="U209" s="50"/>
      <c r="V209" s="50"/>
      <c r="W209" s="50">
        <f>3</f>
        <v>3</v>
      </c>
      <c r="X209" s="50"/>
      <c r="Y209" s="120"/>
      <c r="Z209" s="96">
        <f>SUM(T209:X209)</f>
        <v>3</v>
      </c>
      <c r="AA209" s="97">
        <f>IF(C209=2011, Z209/3,Z209)+Y209</f>
        <v>3</v>
      </c>
      <c r="AB209" s="22"/>
      <c r="AJ209" s="95"/>
      <c r="AK209" s="96"/>
      <c r="AL209" s="97"/>
    </row>
    <row r="210" spans="1:38" x14ac:dyDescent="0.25">
      <c r="A210" s="71" t="s">
        <v>592</v>
      </c>
      <c r="B210" s="71" t="s">
        <v>587</v>
      </c>
      <c r="C210" s="72">
        <v>2011</v>
      </c>
      <c r="D210" s="1">
        <f>R210+F210+E210</f>
        <v>6</v>
      </c>
      <c r="G210" s="120"/>
      <c r="I210" s="205"/>
      <c r="J210" s="196"/>
      <c r="K210" s="186"/>
      <c r="L210" s="170"/>
      <c r="M210" s="50"/>
      <c r="N210" s="50">
        <f>3</f>
        <v>3</v>
      </c>
      <c r="O210" s="219">
        <f>AA210</f>
        <v>3</v>
      </c>
      <c r="P210" s="120"/>
      <c r="Q210" s="96">
        <f>I210+J210+K210+L210+M210+N210+O210</f>
        <v>6</v>
      </c>
      <c r="R210" s="97">
        <f>IF(C210=2012, Q210/3,Q210)+P210</f>
        <v>6</v>
      </c>
      <c r="S210" s="237"/>
      <c r="T210" s="219"/>
      <c r="U210" s="150"/>
      <c r="V210" s="50"/>
      <c r="W210" s="50">
        <f>0</f>
        <v>0</v>
      </c>
      <c r="X210" s="50"/>
      <c r="Y210" s="120">
        <f>3</f>
        <v>3</v>
      </c>
      <c r="Z210" s="96">
        <f>SUM(T210:X210)</f>
        <v>0</v>
      </c>
      <c r="AA210" s="97">
        <f>IF(C210=2011, Z210/3,Z210)+Y210</f>
        <v>3</v>
      </c>
      <c r="AB210" s="22"/>
      <c r="AC210" s="237"/>
      <c r="AD210" s="237"/>
      <c r="AE210" s="237"/>
      <c r="AF210" s="237"/>
      <c r="AG210" s="237"/>
      <c r="AH210" s="237"/>
      <c r="AI210" s="240"/>
      <c r="AJ210" s="95"/>
      <c r="AK210" s="96"/>
      <c r="AL210" s="97"/>
    </row>
    <row r="211" spans="1:38" x14ac:dyDescent="0.25">
      <c r="A211" s="60" t="s">
        <v>588</v>
      </c>
      <c r="B211" s="65" t="s">
        <v>587</v>
      </c>
      <c r="C211" s="62">
        <v>2010</v>
      </c>
      <c r="D211" s="1">
        <f>R211+F211+E211</f>
        <v>6</v>
      </c>
      <c r="G211" s="120"/>
      <c r="I211" s="205"/>
      <c r="J211" s="196"/>
      <c r="K211" s="186"/>
      <c r="L211" s="170"/>
      <c r="M211" s="50"/>
      <c r="N211" s="50">
        <f>3</f>
        <v>3</v>
      </c>
      <c r="O211" s="219">
        <f>AA211</f>
        <v>3</v>
      </c>
      <c r="P211" s="120"/>
      <c r="Q211" s="96">
        <f>I211+J211+K211+L211+M211+N211+O211</f>
        <v>6</v>
      </c>
      <c r="R211" s="97">
        <f>IF(C211=2012, Q211/3,Q211)+P211</f>
        <v>6</v>
      </c>
      <c r="S211" s="22"/>
      <c r="T211" s="50"/>
      <c r="U211" s="50"/>
      <c r="V211" s="50"/>
      <c r="W211" s="50">
        <f>3</f>
        <v>3</v>
      </c>
      <c r="X211" s="50"/>
      <c r="Y211" s="120"/>
      <c r="Z211" s="96">
        <f>SUM(T211:X211)</f>
        <v>3</v>
      </c>
      <c r="AA211" s="97">
        <f>IF(C211=2011, Z211/3,Z211)+Y211</f>
        <v>3</v>
      </c>
      <c r="AB211" s="22"/>
      <c r="AJ211" s="95"/>
      <c r="AK211" s="96"/>
      <c r="AL211" s="97"/>
    </row>
    <row r="212" spans="1:38" x14ac:dyDescent="0.25">
      <c r="A212" s="60" t="s">
        <v>499</v>
      </c>
      <c r="B212" s="65" t="s">
        <v>232</v>
      </c>
      <c r="C212" s="62">
        <v>2009</v>
      </c>
      <c r="D212" s="1">
        <f>R212+F212+E212</f>
        <v>45</v>
      </c>
      <c r="E212" s="156"/>
      <c r="F212" s="156"/>
      <c r="G212" s="122"/>
      <c r="H212" s="156"/>
      <c r="I212" s="205"/>
      <c r="J212" s="196"/>
      <c r="K212" s="186"/>
      <c r="L212" s="170"/>
      <c r="M212" s="50"/>
      <c r="N212" s="50"/>
      <c r="O212" s="219">
        <f>AA212</f>
        <v>45</v>
      </c>
      <c r="P212" s="120"/>
      <c r="Q212" s="96">
        <f>I212+J212+K212+L212+M212+N212+O212</f>
        <v>45</v>
      </c>
      <c r="R212" s="97">
        <f>IF(C212=2012, Q212/3,Q212)+P212</f>
        <v>45</v>
      </c>
      <c r="S212" s="22"/>
      <c r="T212" s="50">
        <f>16</f>
        <v>16</v>
      </c>
      <c r="U212" s="50">
        <f>20</f>
        <v>20</v>
      </c>
      <c r="V212" s="50"/>
      <c r="W212" s="50"/>
      <c r="X212" s="50">
        <f>AL212</f>
        <v>9</v>
      </c>
      <c r="Y212" s="120"/>
      <c r="Z212" s="96">
        <f>SUM(T212:X212)</f>
        <v>45</v>
      </c>
      <c r="AA212" s="97">
        <f>IF(C212=2011, Z212/3,Z212)+Y212</f>
        <v>45</v>
      </c>
      <c r="AB212" s="22"/>
      <c r="AH212" s="13">
        <f>9</f>
        <v>9</v>
      </c>
      <c r="AJ212" s="95"/>
      <c r="AK212" s="96">
        <f>SUM(AC212:AI212)</f>
        <v>9</v>
      </c>
      <c r="AL212" s="97">
        <f>IF(C212=2010, AK212/3,AK212)+AJ212</f>
        <v>9</v>
      </c>
    </row>
    <row r="213" spans="1:38" x14ac:dyDescent="0.25">
      <c r="A213" s="60" t="s">
        <v>673</v>
      </c>
      <c r="B213" s="65" t="s">
        <v>479</v>
      </c>
      <c r="C213" s="62"/>
      <c r="D213" s="1">
        <f>R213+F213+E213</f>
        <v>4</v>
      </c>
      <c r="G213" s="154"/>
      <c r="I213" s="205"/>
      <c r="J213" s="196"/>
      <c r="K213" s="186"/>
      <c r="L213" s="170"/>
      <c r="M213" s="50"/>
      <c r="N213" s="50"/>
      <c r="O213" s="219">
        <f>AA213</f>
        <v>4</v>
      </c>
      <c r="P213" s="120"/>
      <c r="Q213" s="96">
        <f>I213+J213+K213+L213+M213+N213+O213</f>
        <v>4</v>
      </c>
      <c r="R213" s="97">
        <f>IF(C213=2012, Q213/3,Q213)+P213</f>
        <v>4</v>
      </c>
      <c r="S213" s="22"/>
      <c r="T213" s="50"/>
      <c r="U213" s="50"/>
      <c r="V213" s="50">
        <f>4</f>
        <v>4</v>
      </c>
      <c r="W213" s="50"/>
      <c r="X213" s="50"/>
      <c r="Y213" s="120"/>
      <c r="Z213" s="96">
        <f>SUM(T213:X213)</f>
        <v>4</v>
      </c>
      <c r="AA213" s="97">
        <f>IF(C213=2011, Z213/3,Z213)+Y213</f>
        <v>4</v>
      </c>
      <c r="AB213" s="22"/>
      <c r="AJ213" s="95"/>
      <c r="AK213" s="96"/>
      <c r="AL213" s="97"/>
    </row>
    <row r="214" spans="1:38" x14ac:dyDescent="0.25">
      <c r="A214" s="45" t="s">
        <v>557</v>
      </c>
      <c r="B214" s="66" t="s">
        <v>551</v>
      </c>
      <c r="C214" s="46">
        <v>2012</v>
      </c>
      <c r="D214" s="1">
        <f>R214+F214+E214</f>
        <v>83.333333333333329</v>
      </c>
      <c r="E214" s="237"/>
      <c r="F214" s="237"/>
      <c r="G214" s="154"/>
      <c r="H214" s="237"/>
      <c r="M214" s="156">
        <f>72+18+6</f>
        <v>96</v>
      </c>
      <c r="N214" s="156">
        <f>16+4</f>
        <v>20</v>
      </c>
      <c r="O214" s="219">
        <f>AA214</f>
        <v>134</v>
      </c>
      <c r="P214" s="154"/>
      <c r="Q214" s="96">
        <f>I214+J214+K214+L214+M214+N214+O214</f>
        <v>250</v>
      </c>
      <c r="R214" s="97">
        <f>IF(C214=2012, Q214/3,Q214)+P214</f>
        <v>83.333333333333329</v>
      </c>
      <c r="S214" s="222"/>
      <c r="T214" s="222"/>
      <c r="U214" s="219">
        <f>32+33</f>
        <v>65</v>
      </c>
      <c r="V214" s="50"/>
      <c r="W214" s="50">
        <f>27+42</f>
        <v>69</v>
      </c>
      <c r="X214" s="50"/>
      <c r="Y214" s="120"/>
      <c r="Z214" s="96">
        <f>SUM(T214:X214)</f>
        <v>134</v>
      </c>
      <c r="AA214" s="97">
        <f>IF(C214=2011, Z214/3,Z214)+Y214</f>
        <v>134</v>
      </c>
      <c r="AB214" s="101"/>
      <c r="AC214" s="153"/>
      <c r="AD214" s="153"/>
      <c r="AE214" s="153"/>
      <c r="AF214" s="153"/>
      <c r="AG214" s="153"/>
      <c r="AH214" s="153"/>
      <c r="AI214" s="236"/>
      <c r="AJ214" s="95"/>
      <c r="AK214" s="96">
        <f>SUM(AC214:AI214)</f>
        <v>0</v>
      </c>
      <c r="AL214" s="97">
        <f>IF(C214=2015, AK214/3,AK214)+AJ214</f>
        <v>0</v>
      </c>
    </row>
    <row r="215" spans="1:38" x14ac:dyDescent="0.25">
      <c r="A215" s="11" t="s">
        <v>305</v>
      </c>
      <c r="B215" s="11" t="s">
        <v>6</v>
      </c>
      <c r="C215" s="3">
        <v>2010</v>
      </c>
      <c r="D215" s="1">
        <f>R215+F215+E215</f>
        <v>203</v>
      </c>
      <c r="E215" s="233">
        <f>15+24</f>
        <v>39</v>
      </c>
      <c r="G215" s="154"/>
      <c r="I215" s="205"/>
      <c r="J215" s="196"/>
      <c r="K215" s="186"/>
      <c r="L215" s="170"/>
      <c r="M215" s="50"/>
      <c r="N215" s="50"/>
      <c r="O215" s="219">
        <f>AA215</f>
        <v>164</v>
      </c>
      <c r="P215" s="120"/>
      <c r="Q215" s="96">
        <f>I215+J215+K215+L215+M215+N215+O215</f>
        <v>164</v>
      </c>
      <c r="R215" s="97">
        <f>IF(C215=2012, Q215/3,Q215)+P215</f>
        <v>164</v>
      </c>
      <c r="S215" s="22"/>
      <c r="T215" s="50"/>
      <c r="U215" s="50">
        <f>0</f>
        <v>0</v>
      </c>
      <c r="V215" s="50">
        <f>43</f>
        <v>43</v>
      </c>
      <c r="W215" s="50">
        <f>29+12</f>
        <v>41</v>
      </c>
      <c r="X215" s="50">
        <f>AL215</f>
        <v>74</v>
      </c>
      <c r="Y215" s="120">
        <f>6</f>
        <v>6</v>
      </c>
      <c r="Z215" s="96">
        <f>SUM(T215:X215)</f>
        <v>158</v>
      </c>
      <c r="AA215" s="97">
        <f>IF(C215=2011, Z215/3,Z215)+Y215</f>
        <v>164</v>
      </c>
      <c r="AB215" s="22"/>
      <c r="AC215" s="237"/>
      <c r="AD215" s="237"/>
      <c r="AE215" s="237"/>
      <c r="AF215" s="237">
        <f>36+9</f>
        <v>45</v>
      </c>
      <c r="AG215" s="237">
        <f>51</f>
        <v>51</v>
      </c>
      <c r="AH215" s="237">
        <f>51+39</f>
        <v>90</v>
      </c>
      <c r="AI215" s="240"/>
      <c r="AJ215" s="95">
        <f>12</f>
        <v>12</v>
      </c>
      <c r="AK215" s="96">
        <f>SUM(AC215:AI215)</f>
        <v>186</v>
      </c>
      <c r="AL215" s="97">
        <f>IF(C215=2010, AK215/3,AK215)+AJ215</f>
        <v>74</v>
      </c>
    </row>
    <row r="216" spans="1:38" x14ac:dyDescent="0.25">
      <c r="A216" s="60" t="s">
        <v>353</v>
      </c>
      <c r="B216" s="65" t="s">
        <v>86</v>
      </c>
      <c r="C216" s="62">
        <v>2009</v>
      </c>
      <c r="D216" s="1">
        <f>R216+F216+E216</f>
        <v>0</v>
      </c>
      <c r="E216" s="237"/>
      <c r="F216" s="237"/>
      <c r="G216" s="154"/>
      <c r="H216" s="237"/>
      <c r="I216" s="205"/>
      <c r="J216" s="196"/>
      <c r="K216" s="186"/>
      <c r="L216" s="170"/>
      <c r="M216" s="50"/>
      <c r="N216" s="50"/>
      <c r="O216" s="219">
        <f>AA216</f>
        <v>0</v>
      </c>
      <c r="P216" s="120"/>
      <c r="Q216" s="96">
        <f>I216+J216+K216+L216+M216+N216+O216</f>
        <v>0</v>
      </c>
      <c r="R216" s="97">
        <f>IF(C216=2012, Q216/3,Q216)+P216</f>
        <v>0</v>
      </c>
      <c r="S216" s="22"/>
      <c r="T216" s="219"/>
      <c r="U216" s="174"/>
      <c r="V216" s="50"/>
      <c r="W216" s="50"/>
      <c r="X216" s="50">
        <f>AL216</f>
        <v>0</v>
      </c>
      <c r="Y216" s="120"/>
      <c r="Z216" s="96">
        <f>SUM(T216:X216)</f>
        <v>0</v>
      </c>
      <c r="AA216" s="97">
        <f>IF(C216=2011, Z216/3,Z216)+Y216</f>
        <v>0</v>
      </c>
      <c r="AB216" s="22"/>
      <c r="AF216" s="13">
        <f>0</f>
        <v>0</v>
      </c>
      <c r="AJ216" s="95"/>
      <c r="AK216" s="96">
        <f>SUM(AC216:AI216)</f>
        <v>0</v>
      </c>
      <c r="AL216" s="97">
        <f>IF(C216=2010, AK216/3,AK216)+AJ216</f>
        <v>0</v>
      </c>
    </row>
    <row r="217" spans="1:38" x14ac:dyDescent="0.25">
      <c r="A217" s="60" t="s">
        <v>817</v>
      </c>
      <c r="B217" s="65" t="s">
        <v>587</v>
      </c>
      <c r="C217" s="62">
        <v>2011</v>
      </c>
      <c r="D217" s="1">
        <f>R217+F217+E217</f>
        <v>12</v>
      </c>
      <c r="G217" s="154"/>
      <c r="I217" s="205"/>
      <c r="J217" s="196"/>
      <c r="K217" s="186"/>
      <c r="L217" s="170"/>
      <c r="M217" s="50"/>
      <c r="N217" s="50">
        <f>12</f>
        <v>12</v>
      </c>
      <c r="O217" s="219">
        <f>AA217</f>
        <v>0</v>
      </c>
      <c r="P217" s="120"/>
      <c r="Q217" s="96">
        <f>I217+J217+K217+L217+M217+N217+O217</f>
        <v>12</v>
      </c>
      <c r="R217" s="97">
        <f>IF(C217=2012, Q217/3,Q217)+P217</f>
        <v>12</v>
      </c>
      <c r="S217" s="22"/>
      <c r="T217" s="50"/>
      <c r="U217" s="50"/>
      <c r="V217" s="50"/>
      <c r="W217" s="50"/>
      <c r="X217" s="50"/>
      <c r="Y217" s="120"/>
      <c r="Z217" s="96">
        <f>SUM(T217:X217)</f>
        <v>0</v>
      </c>
      <c r="AA217" s="97"/>
      <c r="AB217" s="22"/>
      <c r="AJ217" s="95"/>
      <c r="AK217" s="96"/>
      <c r="AL217" s="97"/>
    </row>
    <row r="218" spans="1:38" x14ac:dyDescent="0.25">
      <c r="A218" s="11" t="s">
        <v>119</v>
      </c>
      <c r="B218" s="60" t="s">
        <v>86</v>
      </c>
      <c r="C218" s="62">
        <v>2012</v>
      </c>
      <c r="D218" s="1">
        <f>R218+F218+E218</f>
        <v>24.333333333333332</v>
      </c>
      <c r="G218" s="120"/>
      <c r="I218" s="205"/>
      <c r="J218" s="196"/>
      <c r="K218" s="186"/>
      <c r="L218" s="170"/>
      <c r="M218" s="50"/>
      <c r="N218" s="50"/>
      <c r="O218" s="219">
        <f>AA218</f>
        <v>73</v>
      </c>
      <c r="P218" s="120"/>
      <c r="Q218" s="96">
        <f>I218+J218+K218+L218+M218+N218+O218</f>
        <v>73</v>
      </c>
      <c r="R218" s="97">
        <f>IF(C218=2012, Q218/3,Q218)+P218</f>
        <v>24.333333333333332</v>
      </c>
      <c r="S218" s="238"/>
      <c r="T218" s="238"/>
      <c r="U218" s="50"/>
      <c r="V218" s="50"/>
      <c r="W218" s="50"/>
      <c r="X218" s="50">
        <f>AL218</f>
        <v>73</v>
      </c>
      <c r="Y218" s="120"/>
      <c r="Z218" s="96">
        <f>SUM(T218:X218)</f>
        <v>73</v>
      </c>
      <c r="AA218" s="97">
        <f>IF(C218=2011, Z218/3,Z218)+Y218</f>
        <v>73</v>
      </c>
      <c r="AB218" s="22"/>
      <c r="AC218" s="41"/>
      <c r="AD218" s="41">
        <f>34+3</f>
        <v>37</v>
      </c>
      <c r="AE218" s="41"/>
      <c r="AF218" s="41">
        <f>36</f>
        <v>36</v>
      </c>
      <c r="AG218" s="41"/>
      <c r="AH218" s="41"/>
      <c r="AJ218" s="95"/>
      <c r="AK218" s="96">
        <f>SUM(AC218:AI218)</f>
        <v>73</v>
      </c>
      <c r="AL218" s="97">
        <f>IF(C218=2015, AK218/3,AK218)+AJ218</f>
        <v>73</v>
      </c>
    </row>
    <row r="219" spans="1:38" x14ac:dyDescent="0.25">
      <c r="A219" s="11" t="s">
        <v>566</v>
      </c>
      <c r="B219" s="60" t="s">
        <v>567</v>
      </c>
      <c r="C219" s="62">
        <v>2011</v>
      </c>
      <c r="D219" s="1">
        <f>R219+F219+E219</f>
        <v>14</v>
      </c>
      <c r="E219" s="156"/>
      <c r="F219" s="156"/>
      <c r="G219" s="122"/>
      <c r="H219" s="156"/>
      <c r="I219" s="205"/>
      <c r="J219" s="196"/>
      <c r="K219" s="186"/>
      <c r="L219" s="170"/>
      <c r="M219" s="50"/>
      <c r="N219" s="50"/>
      <c r="O219" s="219">
        <f>AA219</f>
        <v>14</v>
      </c>
      <c r="P219" s="120"/>
      <c r="Q219" s="96">
        <f>I219+J219+K219+L219+M219+N219+O219</f>
        <v>14</v>
      </c>
      <c r="R219" s="97">
        <f>IF(C219=2012, Q219/3,Q219)+P219</f>
        <v>14</v>
      </c>
      <c r="S219" s="237"/>
      <c r="T219" s="50"/>
      <c r="U219" s="191"/>
      <c r="V219" s="50"/>
      <c r="W219" s="50">
        <f>32+10</f>
        <v>42</v>
      </c>
      <c r="X219" s="50"/>
      <c r="Y219" s="120"/>
      <c r="Z219" s="96">
        <f>SUM(T219:X219)</f>
        <v>42</v>
      </c>
      <c r="AA219" s="97">
        <f>IF(C219=2011, Z219/3,Z219)+Y219</f>
        <v>14</v>
      </c>
      <c r="AB219" s="22"/>
      <c r="AC219" s="41"/>
      <c r="AD219" s="41"/>
      <c r="AE219" s="41"/>
      <c r="AF219" s="41"/>
      <c r="AG219" s="41"/>
      <c r="AH219" s="41"/>
      <c r="AJ219" s="95"/>
      <c r="AK219" s="96"/>
      <c r="AL219" s="97"/>
    </row>
    <row r="220" spans="1:38" x14ac:dyDescent="0.25">
      <c r="A220" s="11" t="s">
        <v>470</v>
      </c>
      <c r="B220" s="60" t="s">
        <v>232</v>
      </c>
      <c r="C220" s="62">
        <v>2010</v>
      </c>
      <c r="D220" s="1">
        <f>R220+F220+E220</f>
        <v>15</v>
      </c>
      <c r="E220" s="237"/>
      <c r="F220" s="237"/>
      <c r="G220" s="154"/>
      <c r="H220" s="237"/>
      <c r="I220" s="205"/>
      <c r="J220" s="196"/>
      <c r="K220" s="186"/>
      <c r="L220" s="170"/>
      <c r="M220" s="50"/>
      <c r="N220" s="50"/>
      <c r="O220" s="219">
        <f>AA220</f>
        <v>15</v>
      </c>
      <c r="P220" s="120"/>
      <c r="Q220" s="96">
        <f>I220+J220+K220+L220+M220+N220+O220</f>
        <v>15</v>
      </c>
      <c r="R220" s="97">
        <f>IF(C220=2012, Q220/3,Q220)+P220</f>
        <v>15</v>
      </c>
      <c r="S220" s="22"/>
      <c r="T220" s="50"/>
      <c r="U220" s="237"/>
      <c r="V220" s="50"/>
      <c r="W220" s="50"/>
      <c r="X220" s="50">
        <f>AL220</f>
        <v>15</v>
      </c>
      <c r="Y220" s="120"/>
      <c r="Z220" s="96">
        <f>SUM(T220:X220)</f>
        <v>15</v>
      </c>
      <c r="AA220" s="97">
        <f>IF(C220=2011, Z220/3,Z220)+Y220</f>
        <v>15</v>
      </c>
      <c r="AB220" s="22"/>
      <c r="AC220" s="41"/>
      <c r="AD220" s="41"/>
      <c r="AE220" s="41"/>
      <c r="AF220" s="41"/>
      <c r="AG220" s="41"/>
      <c r="AH220" s="41">
        <f>45</f>
        <v>45</v>
      </c>
      <c r="AJ220" s="95"/>
      <c r="AK220" s="96">
        <f>SUM(AC220:AI220)</f>
        <v>45</v>
      </c>
      <c r="AL220" s="97">
        <f>IF(C220=2010, AK220/3,AK220)+AJ220</f>
        <v>15</v>
      </c>
    </row>
    <row r="221" spans="1:38" x14ac:dyDescent="0.25">
      <c r="A221" s="11" t="s">
        <v>384</v>
      </c>
      <c r="B221" s="60" t="s">
        <v>380</v>
      </c>
      <c r="C221" s="62">
        <v>2010</v>
      </c>
      <c r="D221" s="1">
        <f>R221+F221+E221</f>
        <v>1</v>
      </c>
      <c r="G221" s="154"/>
      <c r="I221" s="205"/>
      <c r="J221" s="196"/>
      <c r="K221" s="186"/>
      <c r="L221" s="170"/>
      <c r="M221" s="50"/>
      <c r="N221" s="50"/>
      <c r="O221" s="219">
        <f>AA221</f>
        <v>1</v>
      </c>
      <c r="P221" s="120"/>
      <c r="Q221" s="96">
        <f>I221+J221+K221+L221+M221+N221+O221</f>
        <v>1</v>
      </c>
      <c r="R221" s="97">
        <f>IF(C221=2012, Q221/3,Q221)+P221</f>
        <v>1</v>
      </c>
      <c r="S221" s="22"/>
      <c r="T221" s="237"/>
      <c r="U221" s="50"/>
      <c r="V221" s="50"/>
      <c r="W221" s="50"/>
      <c r="X221" s="50">
        <f>AL221</f>
        <v>1</v>
      </c>
      <c r="Y221" s="120"/>
      <c r="Z221" s="96">
        <f>SUM(T221:X221)</f>
        <v>1</v>
      </c>
      <c r="AA221" s="97">
        <f>IF(C221=2011, Z221/3,Z221)+Y221</f>
        <v>1</v>
      </c>
      <c r="AB221" s="22"/>
      <c r="AC221" s="41"/>
      <c r="AD221" s="41"/>
      <c r="AE221" s="41"/>
      <c r="AF221" s="41">
        <f>3</f>
        <v>3</v>
      </c>
      <c r="AG221" s="41"/>
      <c r="AH221" s="41"/>
      <c r="AJ221" s="95"/>
      <c r="AK221" s="96">
        <f>SUM(AC221:AI221)</f>
        <v>3</v>
      </c>
      <c r="AL221" s="97">
        <f>IF(C221=2010, AK221/3,AK221)+AJ221</f>
        <v>1</v>
      </c>
    </row>
    <row r="222" spans="1:38" x14ac:dyDescent="0.25">
      <c r="A222" s="11" t="s">
        <v>752</v>
      </c>
      <c r="B222" s="60" t="s">
        <v>63</v>
      </c>
      <c r="C222" s="62">
        <v>2009</v>
      </c>
      <c r="D222" s="1">
        <f>R222+F222+E222</f>
        <v>40</v>
      </c>
      <c r="E222" s="156"/>
      <c r="F222" s="156"/>
      <c r="G222" s="122"/>
      <c r="H222" s="156"/>
      <c r="I222" s="205"/>
      <c r="J222" s="196"/>
      <c r="K222" s="186">
        <f>1+1</f>
        <v>2</v>
      </c>
      <c r="L222" s="170">
        <f>4+1</f>
        <v>5</v>
      </c>
      <c r="M222" s="50">
        <f>13</f>
        <v>13</v>
      </c>
      <c r="N222" s="50">
        <f>12+6</f>
        <v>18</v>
      </c>
      <c r="O222" s="219">
        <f>AA222</f>
        <v>2</v>
      </c>
      <c r="P222" s="120"/>
      <c r="Q222" s="96">
        <f>I222+J222+K222+L222+M222+N222+O222</f>
        <v>40</v>
      </c>
      <c r="R222" s="97">
        <f>IF(C222=2012, Q222/3,Q222)+P222</f>
        <v>40</v>
      </c>
      <c r="S222" s="22"/>
      <c r="T222" s="50">
        <f>0+2</f>
        <v>2</v>
      </c>
      <c r="U222" s="50"/>
      <c r="V222" s="50"/>
      <c r="W222" s="50"/>
      <c r="X222" s="50"/>
      <c r="Y222" s="120"/>
      <c r="Z222" s="96">
        <f>SUM(T222:X222)</f>
        <v>2</v>
      </c>
      <c r="AA222" s="97">
        <f>IF(C222=2011, Z222/3,Z222)+Y222</f>
        <v>2</v>
      </c>
      <c r="AB222" s="22"/>
      <c r="AC222" s="41"/>
      <c r="AD222" s="41"/>
      <c r="AE222" s="41"/>
      <c r="AF222" s="41"/>
      <c r="AG222" s="41"/>
      <c r="AH222" s="41"/>
      <c r="AJ222" s="95"/>
      <c r="AK222" s="96"/>
      <c r="AL222" s="97"/>
    </row>
    <row r="223" spans="1:38" x14ac:dyDescent="0.25">
      <c r="A223" s="11" t="s">
        <v>783</v>
      </c>
      <c r="B223" s="60" t="s">
        <v>297</v>
      </c>
      <c r="C223" s="62">
        <v>2011</v>
      </c>
      <c r="D223" s="1">
        <f>R223+F223+E223</f>
        <v>57</v>
      </c>
      <c r="G223" s="154"/>
      <c r="I223" s="205"/>
      <c r="J223" s="196"/>
      <c r="K223" s="186"/>
      <c r="L223" s="170">
        <f>19</f>
        <v>19</v>
      </c>
      <c r="M223" s="50">
        <f>16</f>
        <v>16</v>
      </c>
      <c r="N223" s="50">
        <f>22</f>
        <v>22</v>
      </c>
      <c r="O223" s="219">
        <f>AA223</f>
        <v>0</v>
      </c>
      <c r="P223" s="120"/>
      <c r="Q223" s="96">
        <f>I223+J223+K223+L223+M223+N223+O223</f>
        <v>57</v>
      </c>
      <c r="R223" s="97">
        <f>IF(C223=2012, Q223/3,Q223)+P223</f>
        <v>57</v>
      </c>
      <c r="S223" s="22"/>
      <c r="T223" s="237"/>
      <c r="U223" s="50"/>
      <c r="V223" s="50"/>
      <c r="W223" s="50"/>
      <c r="X223" s="50"/>
      <c r="Y223" s="120"/>
      <c r="Z223" s="96">
        <f>SUM(T223:X223)</f>
        <v>0</v>
      </c>
      <c r="AA223" s="97"/>
      <c r="AB223" s="22"/>
      <c r="AC223" s="41"/>
      <c r="AD223" s="41"/>
      <c r="AE223" s="41"/>
      <c r="AF223" s="41"/>
      <c r="AG223" s="41"/>
      <c r="AH223" s="41"/>
      <c r="AJ223" s="95"/>
      <c r="AK223" s="96"/>
      <c r="AL223" s="97"/>
    </row>
    <row r="224" spans="1:38" x14ac:dyDescent="0.25">
      <c r="A224" s="11" t="s">
        <v>569</v>
      </c>
      <c r="B224" s="60" t="s">
        <v>567</v>
      </c>
      <c r="C224" s="62">
        <v>2012</v>
      </c>
      <c r="D224" s="1">
        <f>R224+F224+E224</f>
        <v>5.333333333333333</v>
      </c>
      <c r="E224" s="108"/>
      <c r="F224" s="108"/>
      <c r="G224" s="122"/>
      <c r="H224" s="108"/>
      <c r="I224" s="205"/>
      <c r="J224" s="196"/>
      <c r="K224" s="186"/>
      <c r="L224" s="170"/>
      <c r="M224" s="50"/>
      <c r="N224" s="50"/>
      <c r="O224" s="219">
        <f>AA224</f>
        <v>16</v>
      </c>
      <c r="P224" s="154"/>
      <c r="Q224" s="96">
        <f>I224+J224+K224+L224+M224+N224+O224</f>
        <v>16</v>
      </c>
      <c r="R224" s="97">
        <f>IF(C224=2012, Q224/3,Q224)+P224</f>
        <v>5.333333333333333</v>
      </c>
      <c r="S224" s="238"/>
      <c r="T224" s="238"/>
      <c r="U224" s="50"/>
      <c r="V224" s="50"/>
      <c r="W224" s="50">
        <f>16</f>
        <v>16</v>
      </c>
      <c r="X224" s="50"/>
      <c r="Y224" s="120"/>
      <c r="Z224" s="96">
        <f>SUM(T224:X224)</f>
        <v>16</v>
      </c>
      <c r="AA224" s="97">
        <f>IF(C224=2011, Z224/3,Z224)+Y224</f>
        <v>16</v>
      </c>
      <c r="AB224" s="22"/>
      <c r="AC224" s="153"/>
      <c r="AD224" s="153"/>
      <c r="AE224" s="153"/>
      <c r="AF224" s="153"/>
      <c r="AG224" s="153"/>
      <c r="AH224" s="153"/>
      <c r="AJ224" s="95"/>
      <c r="AK224" s="96">
        <f>SUM(AC224:AI224)</f>
        <v>0</v>
      </c>
      <c r="AL224" s="97">
        <f>IF(C224=2015, AK224/3,AK224)+AJ224</f>
        <v>0</v>
      </c>
    </row>
    <row r="225" spans="1:38" x14ac:dyDescent="0.25">
      <c r="A225" s="60" t="s">
        <v>194</v>
      </c>
      <c r="B225" s="65" t="s">
        <v>87</v>
      </c>
      <c r="C225" s="62"/>
      <c r="D225" s="1">
        <f>R225+F225+E225</f>
        <v>42</v>
      </c>
      <c r="G225" s="120"/>
      <c r="I225" s="205"/>
      <c r="J225" s="196"/>
      <c r="K225" s="186"/>
      <c r="L225" s="170"/>
      <c r="M225" s="50"/>
      <c r="N225" s="50"/>
      <c r="O225" s="219">
        <f>AA225</f>
        <v>42</v>
      </c>
      <c r="P225" s="120"/>
      <c r="Q225" s="96">
        <f>I225+J225+K225+L225+M225+N225+O225</f>
        <v>42</v>
      </c>
      <c r="R225" s="97">
        <f>IF(C225=2012, Q225/3,Q225)+P225</f>
        <v>42</v>
      </c>
      <c r="S225" s="22"/>
      <c r="T225" s="50"/>
      <c r="U225" s="50"/>
      <c r="V225" s="50"/>
      <c r="W225" s="50"/>
      <c r="X225" s="50">
        <f>AL225</f>
        <v>42</v>
      </c>
      <c r="Y225" s="120"/>
      <c r="Z225" s="96">
        <f>SUM(T225:X225)</f>
        <v>42</v>
      </c>
      <c r="AA225" s="97">
        <f>IF(C225=2011, Z225/3,Z225)+Y225</f>
        <v>42</v>
      </c>
      <c r="AB225" s="22"/>
      <c r="AD225" s="13">
        <f>24+18</f>
        <v>42</v>
      </c>
      <c r="AJ225" s="95"/>
      <c r="AK225" s="96">
        <f>SUM(AC225:AI225)</f>
        <v>42</v>
      </c>
      <c r="AL225" s="97">
        <f>IF(C225=2010, AK225/3,AK225)+AJ225</f>
        <v>42</v>
      </c>
    </row>
    <row r="226" spans="1:38" x14ac:dyDescent="0.25">
      <c r="A226" s="11" t="s">
        <v>590</v>
      </c>
      <c r="B226" s="60" t="s">
        <v>587</v>
      </c>
      <c r="C226" s="62">
        <v>2011</v>
      </c>
      <c r="D226" s="1">
        <f>R226+F226+E226</f>
        <v>6</v>
      </c>
      <c r="E226" s="156"/>
      <c r="F226" s="156"/>
      <c r="G226" s="122"/>
      <c r="H226" s="156"/>
      <c r="I226" s="205"/>
      <c r="J226" s="196"/>
      <c r="K226" s="186"/>
      <c r="L226" s="170"/>
      <c r="M226" s="50"/>
      <c r="N226" s="50">
        <f>3</f>
        <v>3</v>
      </c>
      <c r="O226" s="219">
        <f>AA226</f>
        <v>3</v>
      </c>
      <c r="P226" s="120"/>
      <c r="Q226" s="96">
        <f>I226+J226+K226+L226+M226+N226+O226</f>
        <v>6</v>
      </c>
      <c r="R226" s="97">
        <f>IF(C226=2012, Q226/3,Q226)+P226</f>
        <v>6</v>
      </c>
      <c r="S226" s="237"/>
      <c r="T226" s="237"/>
      <c r="U226" s="50"/>
      <c r="V226" s="50"/>
      <c r="W226" s="50">
        <f>0</f>
        <v>0</v>
      </c>
      <c r="X226" s="50"/>
      <c r="Y226" s="120">
        <f>3</f>
        <v>3</v>
      </c>
      <c r="Z226" s="96">
        <f>SUM(T226:X226)</f>
        <v>0</v>
      </c>
      <c r="AA226" s="97">
        <f>IF(C226=2011, Z226/3,Z226)+Y226</f>
        <v>3</v>
      </c>
      <c r="AB226" s="22"/>
      <c r="AC226" s="41"/>
      <c r="AD226" s="41"/>
      <c r="AE226" s="41"/>
      <c r="AF226" s="41"/>
      <c r="AG226" s="41"/>
      <c r="AH226" s="41"/>
      <c r="AJ226" s="95"/>
      <c r="AK226" s="96"/>
      <c r="AL226" s="97"/>
    </row>
    <row r="227" spans="1:38" x14ac:dyDescent="0.25">
      <c r="A227" s="60" t="s">
        <v>379</v>
      </c>
      <c r="B227" s="65" t="s">
        <v>380</v>
      </c>
      <c r="C227" s="62">
        <v>2009</v>
      </c>
      <c r="D227" s="1">
        <f>R227+F227+E227</f>
        <v>2</v>
      </c>
      <c r="G227" s="120"/>
      <c r="I227" s="205"/>
      <c r="J227" s="196"/>
      <c r="K227" s="186"/>
      <c r="L227" s="170"/>
      <c r="M227" s="50"/>
      <c r="N227" s="50"/>
      <c r="O227" s="219">
        <f>AA227</f>
        <v>2</v>
      </c>
      <c r="P227" s="120"/>
      <c r="Q227" s="96">
        <f>I227+J227+K227+L227+M227+N227+O227</f>
        <v>2</v>
      </c>
      <c r="R227" s="97">
        <f>IF(C227=2012, Q227/3,Q227)+P227</f>
        <v>2</v>
      </c>
      <c r="S227" s="22"/>
      <c r="T227" s="50"/>
      <c r="U227" s="205"/>
      <c r="V227" s="50"/>
      <c r="W227" s="50"/>
      <c r="X227" s="50">
        <f>AL227</f>
        <v>2</v>
      </c>
      <c r="Y227" s="120"/>
      <c r="Z227" s="96">
        <f>SUM(T227:X227)</f>
        <v>2</v>
      </c>
      <c r="AA227" s="97">
        <f>IF(C227=2011, Z227/3,Z227)+Y227</f>
        <v>2</v>
      </c>
      <c r="AB227" s="22"/>
      <c r="AF227" s="13">
        <f>2</f>
        <v>2</v>
      </c>
      <c r="AJ227" s="95"/>
      <c r="AK227" s="96">
        <f>SUM(AC227:AI227)</f>
        <v>2</v>
      </c>
      <c r="AL227" s="97">
        <f>IF(C227=2010, AK227/3,AK227)+AJ227</f>
        <v>2</v>
      </c>
    </row>
    <row r="228" spans="1:38" x14ac:dyDescent="0.25">
      <c r="A228" s="11" t="s">
        <v>310</v>
      </c>
      <c r="B228" s="60" t="s">
        <v>6</v>
      </c>
      <c r="C228" s="62">
        <v>2011</v>
      </c>
      <c r="D228" s="1">
        <f>R228+F228+E228</f>
        <v>44</v>
      </c>
      <c r="E228" s="237"/>
      <c r="F228" s="237"/>
      <c r="G228" s="154"/>
      <c r="H228" s="237"/>
      <c r="I228" s="205"/>
      <c r="J228" s="196"/>
      <c r="K228" s="186"/>
      <c r="L228" s="170"/>
      <c r="M228" s="50"/>
      <c r="N228" s="50"/>
      <c r="O228" s="219">
        <f>AA228</f>
        <v>44</v>
      </c>
      <c r="P228" s="120"/>
      <c r="Q228" s="96">
        <f>I228+J228+K228+L228+M228+N228+O228</f>
        <v>44</v>
      </c>
      <c r="R228" s="97">
        <f>IF(C228=2012, Q228/3,Q228)+P228</f>
        <v>44</v>
      </c>
      <c r="S228" s="237"/>
      <c r="T228" s="50"/>
      <c r="U228" s="50"/>
      <c r="V228" s="50">
        <f>32</f>
        <v>32</v>
      </c>
      <c r="W228" s="50">
        <f>16+36</f>
        <v>52</v>
      </c>
      <c r="X228" s="50">
        <f>AL228</f>
        <v>48</v>
      </c>
      <c r="Y228" s="120"/>
      <c r="Z228" s="96">
        <f>SUM(T228:X228)</f>
        <v>132</v>
      </c>
      <c r="AA228" s="97">
        <f>IF(C228=2011, Z228/3,Z228)+Y228</f>
        <v>44</v>
      </c>
      <c r="AB228" s="22"/>
      <c r="AC228" s="41"/>
      <c r="AD228" s="41"/>
      <c r="AE228" s="41"/>
      <c r="AF228" s="41">
        <f>18</f>
        <v>18</v>
      </c>
      <c r="AG228" s="41">
        <f>29</f>
        <v>29</v>
      </c>
      <c r="AH228" s="41"/>
      <c r="AI228" s="13">
        <f>1</f>
        <v>1</v>
      </c>
      <c r="AJ228" s="95"/>
      <c r="AK228" s="96">
        <f>SUM(AC228:AI228)</f>
        <v>48</v>
      </c>
      <c r="AL228" s="97">
        <f>IF(C228=2015, AK228/3,AK228)+AJ228</f>
        <v>48</v>
      </c>
    </row>
    <row r="229" spans="1:38" x14ac:dyDescent="0.25">
      <c r="A229" s="60" t="s">
        <v>652</v>
      </c>
      <c r="B229" s="65" t="s">
        <v>63</v>
      </c>
      <c r="C229" s="62">
        <v>2009</v>
      </c>
      <c r="D229" s="1">
        <f>R229+F229+E229</f>
        <v>21</v>
      </c>
      <c r="E229" s="237"/>
      <c r="F229" s="237"/>
      <c r="G229" s="120"/>
      <c r="H229" s="237"/>
      <c r="I229" s="205"/>
      <c r="J229" s="196"/>
      <c r="K229" s="186"/>
      <c r="L229" s="170">
        <f>0+6</f>
        <v>6</v>
      </c>
      <c r="M229" s="50">
        <f>0+6</f>
        <v>6</v>
      </c>
      <c r="N229" s="50">
        <f>0+9</f>
        <v>9</v>
      </c>
      <c r="O229" s="219">
        <f>AA229</f>
        <v>0</v>
      </c>
      <c r="P229" s="120"/>
      <c r="Q229" s="96">
        <f>I229+J229+K229+L229+M229+N229+O229</f>
        <v>21</v>
      </c>
      <c r="R229" s="97">
        <f>IF(C229=2012, Q229/3,Q229)+P229</f>
        <v>21</v>
      </c>
      <c r="S229" s="22"/>
      <c r="T229" s="50">
        <f>0</f>
        <v>0</v>
      </c>
      <c r="U229" s="50">
        <f>0</f>
        <v>0</v>
      </c>
      <c r="V229" s="50">
        <f>0</f>
        <v>0</v>
      </c>
      <c r="W229" s="50"/>
      <c r="X229" s="50"/>
      <c r="Y229" s="120"/>
      <c r="Z229" s="96">
        <f>SUM(T229:X229)</f>
        <v>0</v>
      </c>
      <c r="AA229" s="97">
        <f>IF(C229=2011, Z229/3,Z229)+Y229</f>
        <v>0</v>
      </c>
      <c r="AB229" s="22"/>
      <c r="AJ229" s="95"/>
      <c r="AK229" s="96"/>
      <c r="AL229" s="97"/>
    </row>
    <row r="230" spans="1:38" x14ac:dyDescent="0.25">
      <c r="A230" s="11" t="s">
        <v>911</v>
      </c>
      <c r="B230" s="60" t="s">
        <v>64</v>
      </c>
      <c r="C230" s="62"/>
      <c r="D230" s="1">
        <f>R230+F230+E230</f>
        <v>16</v>
      </c>
      <c r="G230" s="237"/>
      <c r="I230" s="205"/>
      <c r="J230" s="196"/>
      <c r="K230" s="186"/>
      <c r="L230" s="170">
        <f>10+3+3</f>
        <v>16</v>
      </c>
      <c r="M230" s="50"/>
      <c r="N230" s="50"/>
      <c r="O230" s="219">
        <f>AA230</f>
        <v>0</v>
      </c>
      <c r="P230" s="120"/>
      <c r="Q230" s="96">
        <f>I230+J230+K230+L230+M230+N230+O230</f>
        <v>16</v>
      </c>
      <c r="R230" s="97">
        <f>IF(C230=2012, Q230/3,Q230)+P230</f>
        <v>16</v>
      </c>
      <c r="S230" s="22"/>
      <c r="T230" s="50"/>
      <c r="U230" s="50"/>
      <c r="V230" s="50"/>
      <c r="W230" s="50"/>
      <c r="X230" s="50"/>
      <c r="Y230" s="120"/>
      <c r="Z230" s="96">
        <f>SUM(T230:X230)</f>
        <v>0</v>
      </c>
      <c r="AA230" s="97">
        <f>IF(C230=2011, Z230/3,Z230)+Y230</f>
        <v>0</v>
      </c>
      <c r="AB230" s="22"/>
      <c r="AC230" s="41"/>
      <c r="AD230" s="41"/>
      <c r="AE230" s="41"/>
      <c r="AF230" s="41"/>
      <c r="AG230" s="41"/>
      <c r="AH230" s="41"/>
      <c r="AJ230" s="95"/>
      <c r="AK230" s="96"/>
      <c r="AL230" s="97"/>
    </row>
    <row r="231" spans="1:38" x14ac:dyDescent="0.25">
      <c r="A231" s="11" t="s">
        <v>861</v>
      </c>
      <c r="B231" s="60" t="s">
        <v>633</v>
      </c>
      <c r="C231" s="62">
        <v>2011</v>
      </c>
      <c r="D231" s="1">
        <f>R231+F231+E231</f>
        <v>2</v>
      </c>
      <c r="E231" s="156"/>
      <c r="F231" s="156"/>
      <c r="G231" s="122"/>
      <c r="H231" s="156"/>
      <c r="I231" s="205"/>
      <c r="J231" s="196"/>
      <c r="K231" s="186"/>
      <c r="L231" s="170"/>
      <c r="M231" s="50">
        <f>0+2</f>
        <v>2</v>
      </c>
      <c r="N231" s="50"/>
      <c r="O231" s="219">
        <f>AA231</f>
        <v>0</v>
      </c>
      <c r="P231" s="120"/>
      <c r="Q231" s="96">
        <f>I231+J231+K231+L231+M231+N231+O231</f>
        <v>2</v>
      </c>
      <c r="R231" s="97">
        <f>IF(C231=2012, Q231/3,Q231)+P231</f>
        <v>2</v>
      </c>
      <c r="S231" s="22"/>
      <c r="T231" s="237"/>
      <c r="U231" s="50"/>
      <c r="V231" s="50"/>
      <c r="W231" s="50"/>
      <c r="X231" s="50"/>
      <c r="Y231" s="120"/>
      <c r="Z231" s="96">
        <f>SUM(T231:X231)</f>
        <v>0</v>
      </c>
      <c r="AA231" s="97">
        <f>IF(C231=2011, Z231/3,Z231)+Y231</f>
        <v>0</v>
      </c>
      <c r="AB231" s="22"/>
      <c r="AC231" s="41"/>
      <c r="AD231" s="41"/>
      <c r="AE231" s="41"/>
      <c r="AF231" s="41"/>
      <c r="AG231" s="41"/>
      <c r="AH231" s="41"/>
      <c r="AJ231" s="95"/>
      <c r="AK231" s="96"/>
      <c r="AL231" s="97"/>
    </row>
    <row r="232" spans="1:38" x14ac:dyDescent="0.25">
      <c r="A232" s="71" t="s">
        <v>239</v>
      </c>
      <c r="B232" s="71" t="s">
        <v>232</v>
      </c>
      <c r="C232" s="72">
        <v>2012</v>
      </c>
      <c r="D232" s="1">
        <f>R232+F232+E232</f>
        <v>16</v>
      </c>
      <c r="G232" s="154"/>
      <c r="I232" s="205"/>
      <c r="J232" s="196"/>
      <c r="K232" s="186"/>
      <c r="L232" s="170"/>
      <c r="M232" s="50"/>
      <c r="N232" s="50"/>
      <c r="O232" s="219">
        <f>AA232</f>
        <v>48</v>
      </c>
      <c r="P232" s="120"/>
      <c r="Q232" s="96">
        <f>I232+J232+K232+L232+M232+N232+O232</f>
        <v>48</v>
      </c>
      <c r="R232" s="97">
        <f>IF(C232=2012, Q232/3,Q232)+P232</f>
        <v>16</v>
      </c>
      <c r="S232" s="238"/>
      <c r="T232" s="238"/>
      <c r="U232" s="50"/>
      <c r="V232" s="50"/>
      <c r="W232" s="50"/>
      <c r="X232" s="50">
        <f>AL232</f>
        <v>48</v>
      </c>
      <c r="Y232" s="120"/>
      <c r="Z232" s="96">
        <f>SUM(T232:X232)</f>
        <v>48</v>
      </c>
      <c r="AA232" s="97">
        <f>IF(C232=2011, Z232/3,Z232)+Y232</f>
        <v>48</v>
      </c>
      <c r="AB232" s="22"/>
      <c r="AC232" s="219"/>
      <c r="AD232" s="219"/>
      <c r="AE232" s="219">
        <f>48</f>
        <v>48</v>
      </c>
      <c r="AF232" s="219"/>
      <c r="AG232" s="219"/>
      <c r="AH232" s="219"/>
      <c r="AI232" s="240"/>
      <c r="AJ232" s="95"/>
      <c r="AK232" s="96">
        <f>SUM(AC232:AI232)</f>
        <v>48</v>
      </c>
      <c r="AL232" s="97">
        <f>IF(C232=2015, AK232/3,AK232)+AJ232</f>
        <v>48</v>
      </c>
    </row>
    <row r="233" spans="1:38" x14ac:dyDescent="0.25">
      <c r="A233" s="60" t="s">
        <v>441</v>
      </c>
      <c r="B233" s="65" t="s">
        <v>111</v>
      </c>
      <c r="C233" s="62">
        <v>2009</v>
      </c>
      <c r="D233" s="1">
        <f>R233+F233+E233</f>
        <v>0</v>
      </c>
      <c r="G233" s="154"/>
      <c r="I233" s="205"/>
      <c r="J233" s="196"/>
      <c r="K233" s="186"/>
      <c r="L233" s="170"/>
      <c r="M233" s="50"/>
      <c r="N233" s="50"/>
      <c r="O233" s="219">
        <f>AA233</f>
        <v>0</v>
      </c>
      <c r="P233" s="120"/>
      <c r="Q233" s="96">
        <f>I233+J233+K233+L233+M233+N233+O233</f>
        <v>0</v>
      </c>
      <c r="R233" s="97">
        <f>IF(C233=2012, Q233/3,Q233)+P233</f>
        <v>0</v>
      </c>
      <c r="S233" s="22"/>
      <c r="T233" s="50">
        <f>0</f>
        <v>0</v>
      </c>
      <c r="U233" s="50">
        <f>0</f>
        <v>0</v>
      </c>
      <c r="V233" s="50">
        <f>0</f>
        <v>0</v>
      </c>
      <c r="W233" s="50"/>
      <c r="X233" s="50">
        <f>AL233</f>
        <v>0</v>
      </c>
      <c r="Y233" s="120"/>
      <c r="Z233" s="96">
        <f>SUM(T233:X233)</f>
        <v>0</v>
      </c>
      <c r="AA233" s="97">
        <f>IF(C233=2011, Z233/3,Z233)+Y233</f>
        <v>0</v>
      </c>
      <c r="AB233" s="22"/>
      <c r="AG233" s="13">
        <f>0</f>
        <v>0</v>
      </c>
      <c r="AJ233" s="95"/>
      <c r="AK233" s="96">
        <f>SUM(AC233:AI233)</f>
        <v>0</v>
      </c>
      <c r="AL233" s="97">
        <f>IF(C233=2010, AK233/3,AK233)+AJ233</f>
        <v>0</v>
      </c>
    </row>
    <row r="234" spans="1:38" x14ac:dyDescent="0.25">
      <c r="A234" s="71" t="s">
        <v>736</v>
      </c>
      <c r="B234" s="71" t="s">
        <v>63</v>
      </c>
      <c r="C234" s="72">
        <v>2012</v>
      </c>
      <c r="D234" s="1">
        <f>R234+F234+E234</f>
        <v>0</v>
      </c>
      <c r="G234" s="120"/>
      <c r="I234" s="205"/>
      <c r="J234" s="196"/>
      <c r="K234" s="186"/>
      <c r="L234" s="170"/>
      <c r="M234" s="50"/>
      <c r="N234" s="50"/>
      <c r="O234" s="219">
        <f>AA234</f>
        <v>0</v>
      </c>
      <c r="P234" s="154"/>
      <c r="Q234" s="96">
        <f>I234+J234+K234+L234+M234+N234+O234</f>
        <v>0</v>
      </c>
      <c r="R234" s="97">
        <f>IF(C234=2012, Q234/3,Q234)+P234</f>
        <v>0</v>
      </c>
      <c r="S234" s="238"/>
      <c r="T234" s="238"/>
      <c r="U234" s="50"/>
      <c r="V234" s="50"/>
      <c r="W234" s="50"/>
      <c r="X234" s="50"/>
      <c r="Y234" s="120"/>
      <c r="Z234" s="96">
        <f>SUM(T234:X234)</f>
        <v>0</v>
      </c>
      <c r="AA234" s="97">
        <f>IF(C234=2011, Z234/3,Z234)+Y234</f>
        <v>0</v>
      </c>
      <c r="AB234" s="22"/>
      <c r="AC234" s="237"/>
      <c r="AD234" s="237"/>
      <c r="AE234" s="237"/>
      <c r="AF234" s="237"/>
      <c r="AG234" s="237"/>
      <c r="AH234" s="237"/>
      <c r="AI234" s="240"/>
      <c r="AJ234" s="95"/>
      <c r="AK234" s="96">
        <f>SUM(AC234:AI234)</f>
        <v>0</v>
      </c>
      <c r="AL234" s="97">
        <f>IF(C234=2015, AK234/3,AK234)+AJ234</f>
        <v>0</v>
      </c>
    </row>
    <row r="235" spans="1:38" x14ac:dyDescent="0.25">
      <c r="A235" s="60" t="s">
        <v>645</v>
      </c>
      <c r="B235" s="65" t="s">
        <v>232</v>
      </c>
      <c r="C235" s="62"/>
      <c r="D235" s="1">
        <f>R235+F235+E235</f>
        <v>35</v>
      </c>
      <c r="G235" s="120"/>
      <c r="I235" s="205"/>
      <c r="J235" s="196"/>
      <c r="K235" s="186"/>
      <c r="L235" s="170"/>
      <c r="M235" s="50"/>
      <c r="N235" s="50"/>
      <c r="O235" s="219">
        <f>AA235</f>
        <v>35</v>
      </c>
      <c r="P235" s="120"/>
      <c r="Q235" s="96">
        <f>I235+J235+K235+L235+M235+N235+O235</f>
        <v>35</v>
      </c>
      <c r="R235" s="97">
        <f>IF(C235=2012, Q235/3,Q235)+P235</f>
        <v>35</v>
      </c>
      <c r="S235" s="22"/>
      <c r="T235" s="50">
        <f>13</f>
        <v>13</v>
      </c>
      <c r="U235" s="50"/>
      <c r="V235" s="50">
        <f>22</f>
        <v>22</v>
      </c>
      <c r="W235" s="50"/>
      <c r="X235" s="50"/>
      <c r="Y235" s="120"/>
      <c r="Z235" s="96">
        <f>SUM(T235:X235)</f>
        <v>35</v>
      </c>
      <c r="AA235" s="97">
        <f>IF(C235=2011, Z235/3,Z235)+Y235</f>
        <v>35</v>
      </c>
      <c r="AB235" s="22"/>
      <c r="AJ235" s="95"/>
      <c r="AK235" s="96"/>
      <c r="AL235" s="97"/>
    </row>
    <row r="236" spans="1:38" x14ac:dyDescent="0.25">
      <c r="A236" s="11" t="s">
        <v>927</v>
      </c>
      <c r="B236" s="60" t="s">
        <v>64</v>
      </c>
      <c r="C236" s="62"/>
      <c r="D236" s="1">
        <f>R236+F236+E236</f>
        <v>3</v>
      </c>
      <c r="G236" s="237"/>
      <c r="I236" s="205"/>
      <c r="J236" s="196"/>
      <c r="K236" s="186"/>
      <c r="L236" s="170">
        <f>3</f>
        <v>3</v>
      </c>
      <c r="M236" s="50"/>
      <c r="N236" s="50"/>
      <c r="O236" s="219">
        <f>AA236</f>
        <v>0</v>
      </c>
      <c r="P236" s="120"/>
      <c r="Q236" s="96">
        <f>I236+J236+K236+L236+M236+N236+O236</f>
        <v>3</v>
      </c>
      <c r="R236" s="97">
        <f>IF(C236=2012, Q236/3,Q236)+P236</f>
        <v>3</v>
      </c>
      <c r="S236" s="22"/>
      <c r="T236" s="50"/>
      <c r="U236" s="50"/>
      <c r="V236" s="50"/>
      <c r="W236" s="50"/>
      <c r="X236" s="50"/>
      <c r="Y236" s="120"/>
      <c r="Z236" s="96">
        <f>SUM(T236:X236)</f>
        <v>0</v>
      </c>
      <c r="AA236" s="97">
        <f>IF(C236=2011, Z236/3,Z236)+Y236</f>
        <v>0</v>
      </c>
      <c r="AB236" s="22"/>
      <c r="AC236" s="41"/>
      <c r="AD236" s="41"/>
      <c r="AE236" s="41"/>
      <c r="AF236" s="41"/>
      <c r="AG236" s="41"/>
      <c r="AH236" s="41"/>
      <c r="AJ236" s="95"/>
      <c r="AK236" s="96"/>
      <c r="AL236" s="97"/>
    </row>
    <row r="237" spans="1:38" x14ac:dyDescent="0.25">
      <c r="A237" s="11" t="s">
        <v>336</v>
      </c>
      <c r="B237" s="60" t="s">
        <v>6</v>
      </c>
      <c r="C237" s="62">
        <v>2011</v>
      </c>
      <c r="D237" s="1">
        <f>R237+F237+E237</f>
        <v>52.666666666666664</v>
      </c>
      <c r="G237" s="120"/>
      <c r="I237" s="205"/>
      <c r="J237" s="196"/>
      <c r="K237" s="186"/>
      <c r="L237" s="170">
        <f>0</f>
        <v>0</v>
      </c>
      <c r="M237" s="50"/>
      <c r="N237" s="50"/>
      <c r="O237" s="219">
        <f>AA237</f>
        <v>52.666666666666664</v>
      </c>
      <c r="P237" s="120"/>
      <c r="Q237" s="96">
        <f>I237+J237+K237+L237+M237+N237+O237</f>
        <v>52.666666666666664</v>
      </c>
      <c r="R237" s="97">
        <f>IF(C237=2012, Q237/3,Q237)+P237</f>
        <v>52.666666666666664</v>
      </c>
      <c r="S237" s="237"/>
      <c r="T237" s="219"/>
      <c r="U237" s="50"/>
      <c r="V237" s="50"/>
      <c r="W237" s="50"/>
      <c r="X237" s="50">
        <f>AL237</f>
        <v>158</v>
      </c>
      <c r="Y237" s="120"/>
      <c r="Z237" s="96">
        <f>SUM(T237:X237)</f>
        <v>158</v>
      </c>
      <c r="AA237" s="97">
        <f>IF(C237=2011, Z237/3,Z237)+Y237</f>
        <v>52.666666666666664</v>
      </c>
      <c r="AB237" s="22"/>
      <c r="AC237" s="219"/>
      <c r="AD237" s="219"/>
      <c r="AE237" s="219"/>
      <c r="AF237" s="219">
        <f>18</f>
        <v>18</v>
      </c>
      <c r="AG237" s="219">
        <f>0</f>
        <v>0</v>
      </c>
      <c r="AH237" s="219">
        <f>0</f>
        <v>0</v>
      </c>
      <c r="AI237" s="36">
        <f>140</f>
        <v>140</v>
      </c>
      <c r="AJ237" s="95"/>
      <c r="AK237" s="96">
        <f>SUM(AC237:AI237)</f>
        <v>158</v>
      </c>
      <c r="AL237" s="97">
        <f>IF(C237=2015, AK237/3,AK237)+AJ237</f>
        <v>158</v>
      </c>
    </row>
    <row r="238" spans="1:38" x14ac:dyDescent="0.25">
      <c r="A238" s="11" t="s">
        <v>541</v>
      </c>
      <c r="B238" s="60" t="s">
        <v>7</v>
      </c>
      <c r="C238" s="62">
        <v>2012</v>
      </c>
      <c r="D238" s="1">
        <f>R238+F238+E238</f>
        <v>9</v>
      </c>
      <c r="G238" s="154"/>
      <c r="I238" s="205"/>
      <c r="J238" s="196"/>
      <c r="K238" s="186"/>
      <c r="L238" s="170"/>
      <c r="M238" s="50">
        <f>0</f>
        <v>0</v>
      </c>
      <c r="N238" s="50"/>
      <c r="O238" s="219">
        <f>AA238</f>
        <v>27</v>
      </c>
      <c r="P238" s="120"/>
      <c r="Q238" s="96">
        <f>I238+J238+K238+L238+M238+N238+O238</f>
        <v>27</v>
      </c>
      <c r="R238" s="97">
        <f>IF(C238=2012, Q238/3,Q238)+P238</f>
        <v>9</v>
      </c>
      <c r="S238" s="222"/>
      <c r="T238" s="222"/>
      <c r="U238" s="50">
        <f>0+24</f>
        <v>24</v>
      </c>
      <c r="V238" s="50"/>
      <c r="W238" s="50">
        <f>0+1</f>
        <v>1</v>
      </c>
      <c r="X238" s="50">
        <f>AL238</f>
        <v>2</v>
      </c>
      <c r="Y238" s="120"/>
      <c r="Z238" s="96">
        <f>SUM(T238:X238)</f>
        <v>27</v>
      </c>
      <c r="AA238" s="97">
        <f>IF(C238=2011, Z238/3,Z238)+Y238</f>
        <v>27</v>
      </c>
      <c r="AB238" s="22"/>
      <c r="AC238" s="237"/>
      <c r="AD238" s="237"/>
      <c r="AE238" s="237"/>
      <c r="AF238" s="237"/>
      <c r="AG238" s="237"/>
      <c r="AH238" s="237">
        <f>2</f>
        <v>2</v>
      </c>
      <c r="AI238" s="240"/>
      <c r="AJ238" s="95"/>
      <c r="AK238" s="96">
        <f>SUM(AC238:AI238)</f>
        <v>2</v>
      </c>
      <c r="AL238" s="97">
        <f>IF(C238=2015, AK238/3,AK238)+AJ238</f>
        <v>2</v>
      </c>
    </row>
    <row r="239" spans="1:38" x14ac:dyDescent="0.25">
      <c r="A239" s="60" t="s">
        <v>157</v>
      </c>
      <c r="B239" s="65" t="s">
        <v>111</v>
      </c>
      <c r="C239" s="62">
        <v>2009</v>
      </c>
      <c r="D239" s="1">
        <f>R239+F239+E239</f>
        <v>4</v>
      </c>
      <c r="G239" s="120"/>
      <c r="I239" s="205"/>
      <c r="J239" s="196"/>
      <c r="K239" s="186"/>
      <c r="L239" s="170"/>
      <c r="M239" s="50"/>
      <c r="N239" s="50"/>
      <c r="O239" s="219">
        <f>AA239</f>
        <v>4</v>
      </c>
      <c r="P239" s="120"/>
      <c r="Q239" s="96">
        <f>I239+J239+K239+L239+M239+N239+O239</f>
        <v>4</v>
      </c>
      <c r="R239" s="97">
        <f>IF(C239=2012, Q239/3,Q239)+P239</f>
        <v>4</v>
      </c>
      <c r="S239" s="22"/>
      <c r="T239" s="50"/>
      <c r="U239" s="50"/>
      <c r="V239" s="50"/>
      <c r="W239" s="50"/>
      <c r="X239" s="50">
        <f>AL239</f>
        <v>4</v>
      </c>
      <c r="Y239" s="120"/>
      <c r="Z239" s="96">
        <f>SUM(T239:X239)</f>
        <v>4</v>
      </c>
      <c r="AA239" s="97">
        <f>IF(C239=2011, Z239/3,Z239)+Y239</f>
        <v>4</v>
      </c>
      <c r="AB239" s="22"/>
      <c r="AD239" s="13">
        <v>4</v>
      </c>
      <c r="AG239" s="13">
        <f>0</f>
        <v>0</v>
      </c>
      <c r="AJ239" s="95"/>
      <c r="AK239" s="96">
        <f>SUM(AC239:AI239)</f>
        <v>4</v>
      </c>
      <c r="AL239" s="97">
        <f>IF(C239=2010, AK239/3,AK239)+AJ239</f>
        <v>4</v>
      </c>
    </row>
    <row r="240" spans="1:38" x14ac:dyDescent="0.25">
      <c r="A240" s="60" t="s">
        <v>700</v>
      </c>
      <c r="B240" s="65" t="s">
        <v>63</v>
      </c>
      <c r="C240" s="62">
        <v>2010</v>
      </c>
      <c r="D240" s="1">
        <f>R240+F240+E240</f>
        <v>139</v>
      </c>
      <c r="E240" s="156"/>
      <c r="F240" s="156"/>
      <c r="G240" s="122"/>
      <c r="H240" s="156"/>
      <c r="I240" s="205">
        <f>0</f>
        <v>0</v>
      </c>
      <c r="J240" s="196">
        <f>8</f>
        <v>8</v>
      </c>
      <c r="K240" s="186">
        <f>8</f>
        <v>8</v>
      </c>
      <c r="L240" s="170">
        <f>16+6</f>
        <v>22</v>
      </c>
      <c r="M240" s="50">
        <f>38+6</f>
        <v>44</v>
      </c>
      <c r="N240" s="50">
        <f>0+9</f>
        <v>9</v>
      </c>
      <c r="O240" s="219">
        <f>AA240</f>
        <v>48</v>
      </c>
      <c r="P240" s="120"/>
      <c r="Q240" s="96">
        <f>I240+J240+K240+L240+M240+N240+O240</f>
        <v>139</v>
      </c>
      <c r="R240" s="97">
        <f>IF(C240=2012, Q240/3,Q240)+P240</f>
        <v>139</v>
      </c>
      <c r="S240" s="22"/>
      <c r="T240" s="219">
        <f>24+2</f>
        <v>26</v>
      </c>
      <c r="U240" s="50">
        <f>16+6</f>
        <v>22</v>
      </c>
      <c r="V240" s="50"/>
      <c r="W240" s="50"/>
      <c r="X240" s="50"/>
      <c r="Y240" s="120"/>
      <c r="Z240" s="96">
        <f>SUM(T240:X240)</f>
        <v>48</v>
      </c>
      <c r="AA240" s="97">
        <f>IF(C240=2011, Z240/3,Z240)+Y240</f>
        <v>48</v>
      </c>
      <c r="AB240" s="22"/>
      <c r="AJ240" s="95"/>
      <c r="AK240" s="96"/>
      <c r="AL240" s="97"/>
    </row>
    <row r="241" spans="1:57" x14ac:dyDescent="0.25">
      <c r="A241" s="60" t="s">
        <v>578</v>
      </c>
      <c r="B241" s="65" t="s">
        <v>63</v>
      </c>
      <c r="C241" s="62">
        <v>2009</v>
      </c>
      <c r="D241" s="1">
        <f>R241+F241+E241</f>
        <v>57</v>
      </c>
      <c r="E241" s="108"/>
      <c r="F241" s="108"/>
      <c r="G241" s="122"/>
      <c r="H241" s="108"/>
      <c r="I241" s="205"/>
      <c r="J241" s="196"/>
      <c r="K241" s="186">
        <f>0</f>
        <v>0</v>
      </c>
      <c r="L241" s="170">
        <f>0+6</f>
        <v>6</v>
      </c>
      <c r="M241" s="50">
        <f>0+6</f>
        <v>6</v>
      </c>
      <c r="N241" s="50">
        <f>0+9</f>
        <v>9</v>
      </c>
      <c r="O241" s="219">
        <f>AA241</f>
        <v>36</v>
      </c>
      <c r="P241" s="120"/>
      <c r="Q241" s="96">
        <f>I241+J241+K241+L241+M241+N241+O241</f>
        <v>57</v>
      </c>
      <c r="R241" s="97">
        <f>IF(C241=2012, Q241/3,Q241)+P241</f>
        <v>57</v>
      </c>
      <c r="S241" s="22"/>
      <c r="T241" s="50">
        <f>14</f>
        <v>14</v>
      </c>
      <c r="U241" s="50">
        <f>17+3</f>
        <v>20</v>
      </c>
      <c r="V241" s="50">
        <f>0+2</f>
        <v>2</v>
      </c>
      <c r="W241" s="50">
        <f>0</f>
        <v>0</v>
      </c>
      <c r="X241" s="50"/>
      <c r="Y241" s="120"/>
      <c r="Z241" s="96">
        <f>SUM(T241:X241)</f>
        <v>36</v>
      </c>
      <c r="AA241" s="97">
        <f>IF(C241=2011, Z241/3,Z241)+Y241</f>
        <v>36</v>
      </c>
      <c r="AB241" s="22"/>
      <c r="AJ241" s="95"/>
      <c r="AK241" s="96"/>
      <c r="AL241" s="97"/>
    </row>
    <row r="242" spans="1:57" x14ac:dyDescent="0.25">
      <c r="A242" s="11" t="s">
        <v>118</v>
      </c>
      <c r="B242" s="60" t="s">
        <v>111</v>
      </c>
      <c r="C242" s="62">
        <v>2010</v>
      </c>
      <c r="D242" s="1">
        <f>R242+F242+E242</f>
        <v>178.33333333333331</v>
      </c>
      <c r="G242" s="154"/>
      <c r="I242" s="205"/>
      <c r="J242" s="196"/>
      <c r="K242" s="186"/>
      <c r="L242" s="170"/>
      <c r="M242" s="50"/>
      <c r="N242" s="50"/>
      <c r="O242" s="219">
        <f>AA242</f>
        <v>178.33333333333331</v>
      </c>
      <c r="P242" s="120"/>
      <c r="Q242" s="96">
        <f>I242+J242+K242+L242+M242+N242+O242</f>
        <v>178.33333333333331</v>
      </c>
      <c r="R242" s="97">
        <f>IF(C242=2012, Q242/3,Q242)+P242</f>
        <v>178.33333333333331</v>
      </c>
      <c r="S242" s="22"/>
      <c r="T242" s="50"/>
      <c r="U242" s="50">
        <f>22</f>
        <v>22</v>
      </c>
      <c r="V242" s="50">
        <f>44+13</f>
        <v>57</v>
      </c>
      <c r="W242" s="50">
        <f>30</f>
        <v>30</v>
      </c>
      <c r="X242" s="50">
        <f>AL242</f>
        <v>69.333333333333329</v>
      </c>
      <c r="Y242" s="120"/>
      <c r="Z242" s="96">
        <f>SUM(T242:X242)</f>
        <v>178.33333333333331</v>
      </c>
      <c r="AA242" s="97">
        <f>IF(C242=2011, Z242/3,Z242)+Y242</f>
        <v>178.33333333333331</v>
      </c>
      <c r="AB242" s="22"/>
      <c r="AC242" s="41"/>
      <c r="AD242" s="41">
        <v>35</v>
      </c>
      <c r="AE242" s="41"/>
      <c r="AF242" s="41">
        <f>54+5</f>
        <v>59</v>
      </c>
      <c r="AG242" s="41">
        <f>50</f>
        <v>50</v>
      </c>
      <c r="AH242" s="41">
        <f>52</f>
        <v>52</v>
      </c>
      <c r="AJ242" s="95">
        <f>1+3</f>
        <v>4</v>
      </c>
      <c r="AK242" s="96">
        <f>SUM(AC242:AI242)</f>
        <v>196</v>
      </c>
      <c r="AL242" s="97">
        <f>IF(C242=2010, AK242/3,AK242)+AJ242</f>
        <v>69.333333333333329</v>
      </c>
    </row>
    <row r="243" spans="1:57" x14ac:dyDescent="0.25">
      <c r="A243" s="71" t="s">
        <v>851</v>
      </c>
      <c r="B243" s="71" t="s">
        <v>85</v>
      </c>
      <c r="C243" s="72">
        <v>2012</v>
      </c>
      <c r="D243" s="1">
        <f>R243+F243+E243</f>
        <v>17.666666666666668</v>
      </c>
      <c r="E243" s="156"/>
      <c r="F243" s="156"/>
      <c r="G243" s="122"/>
      <c r="H243" s="156"/>
      <c r="I243" s="205"/>
      <c r="J243" s="196"/>
      <c r="K243" s="186"/>
      <c r="L243" s="170"/>
      <c r="M243" s="50">
        <f>50+3</f>
        <v>53</v>
      </c>
      <c r="N243" s="50"/>
      <c r="O243" s="219">
        <f>AA243</f>
        <v>0</v>
      </c>
      <c r="P243" s="154"/>
      <c r="Q243" s="96">
        <f>I243+J243+K243+L243+M243+N243+O243</f>
        <v>53</v>
      </c>
      <c r="R243" s="97">
        <f>IF(C243=2012, Q243/3,Q243)+P243</f>
        <v>17.666666666666668</v>
      </c>
      <c r="U243" s="50"/>
      <c r="V243" s="50"/>
      <c r="W243" s="50"/>
      <c r="X243" s="50"/>
      <c r="Y243" s="120"/>
      <c r="Z243" s="96">
        <f>SUM(T243:X243)</f>
        <v>0</v>
      </c>
      <c r="AA243" s="97">
        <f>IF(C243=2011, Z243/3,Z243)+Y243</f>
        <v>0</v>
      </c>
      <c r="AB243" s="22"/>
      <c r="AC243" s="237"/>
      <c r="AD243" s="237"/>
      <c r="AE243" s="237"/>
      <c r="AF243" s="237"/>
      <c r="AG243" s="237"/>
      <c r="AH243" s="237"/>
      <c r="AI243" s="240"/>
      <c r="AJ243" s="95"/>
      <c r="AK243" s="96"/>
      <c r="AL243" s="97"/>
    </row>
    <row r="244" spans="1:57" x14ac:dyDescent="0.25">
      <c r="A244" s="51" t="s">
        <v>49</v>
      </c>
      <c r="B244" s="84" t="s">
        <v>23</v>
      </c>
      <c r="C244" s="52">
        <v>2009</v>
      </c>
      <c r="D244" s="1">
        <f>R244+F244+E244</f>
        <v>204</v>
      </c>
      <c r="G244" s="120"/>
      <c r="I244" s="205"/>
      <c r="J244" s="196"/>
      <c r="K244" s="186"/>
      <c r="L244" s="170"/>
      <c r="M244" s="50"/>
      <c r="N244" s="50"/>
      <c r="O244" s="219">
        <f>AA244</f>
        <v>204</v>
      </c>
      <c r="P244" s="120"/>
      <c r="Q244" s="96">
        <f>I244+J244+K244+L244+M244+N244+O244</f>
        <v>204</v>
      </c>
      <c r="R244" s="97">
        <f>IF(C244=2012, Q244/3,Q244)+P244</f>
        <v>204</v>
      </c>
      <c r="S244" s="22"/>
      <c r="T244" s="237"/>
      <c r="U244" s="50"/>
      <c r="V244" s="50">
        <f>28+93</f>
        <v>121</v>
      </c>
      <c r="W244" s="50"/>
      <c r="X244" s="50">
        <f>AL244</f>
        <v>83</v>
      </c>
      <c r="Y244" s="120"/>
      <c r="Z244" s="96">
        <f>SUM(T244:X244)</f>
        <v>204</v>
      </c>
      <c r="AA244" s="97">
        <f>IF(C244=2011, Z244/3,Z244)+Y244</f>
        <v>204</v>
      </c>
      <c r="AB244" s="22"/>
      <c r="AC244" s="219">
        <f>15</f>
        <v>15</v>
      </c>
      <c r="AD244" s="219"/>
      <c r="AE244" s="219"/>
      <c r="AF244" s="219"/>
      <c r="AG244" s="219"/>
      <c r="AH244" s="219"/>
      <c r="AI244" s="237">
        <v>68</v>
      </c>
      <c r="AJ244" s="95"/>
      <c r="AK244" s="96">
        <f>SUM(AC244:AI244)</f>
        <v>83</v>
      </c>
      <c r="AL244" s="97">
        <f>IF(C244=2010, AK244/3,AK244)+AJ244</f>
        <v>83</v>
      </c>
    </row>
    <row r="245" spans="1:57" x14ac:dyDescent="0.25">
      <c r="A245" s="11" t="s">
        <v>244</v>
      </c>
      <c r="B245" s="11" t="s">
        <v>242</v>
      </c>
      <c r="C245" s="3">
        <v>2010</v>
      </c>
      <c r="D245" s="1">
        <f>R245+F245+E245</f>
        <v>10.666666666666666</v>
      </c>
      <c r="G245" s="120"/>
      <c r="I245" s="205"/>
      <c r="J245" s="196"/>
      <c r="K245" s="186"/>
      <c r="L245" s="170"/>
      <c r="M245" s="50"/>
      <c r="N245" s="50"/>
      <c r="O245" s="219">
        <f>AA245</f>
        <v>10.666666666666666</v>
      </c>
      <c r="P245" s="120"/>
      <c r="Q245" s="96">
        <f>I245+J245+K245+L245+M245+N245+O245</f>
        <v>10.666666666666666</v>
      </c>
      <c r="R245" s="97">
        <f>IF(C245=2012, Q245/3,Q245)+P245</f>
        <v>10.666666666666666</v>
      </c>
      <c r="S245" s="22"/>
      <c r="T245" s="50"/>
      <c r="U245" s="50"/>
      <c r="V245" s="50"/>
      <c r="W245" s="50"/>
      <c r="X245" s="50">
        <f>AL245</f>
        <v>10.666666666666666</v>
      </c>
      <c r="Y245" s="120"/>
      <c r="Z245" s="96">
        <f>SUM(T245:X245)</f>
        <v>10.666666666666666</v>
      </c>
      <c r="AA245" s="97">
        <f>IF(C245=2011, Z245/3,Z245)+Y245</f>
        <v>10.666666666666666</v>
      </c>
      <c r="AB245" s="22"/>
      <c r="AC245" s="237"/>
      <c r="AD245" s="237"/>
      <c r="AE245" s="237">
        <f>18</f>
        <v>18</v>
      </c>
      <c r="AF245" s="237"/>
      <c r="AG245" s="237"/>
      <c r="AH245" s="237"/>
      <c r="AI245" s="240">
        <f>14</f>
        <v>14</v>
      </c>
      <c r="AJ245" s="95"/>
      <c r="AK245" s="96">
        <f>SUM(AC245:AI245)</f>
        <v>32</v>
      </c>
      <c r="AL245" s="97">
        <f>IF(C245=2010, AK245/3,AK245)+AJ245</f>
        <v>10.666666666666666</v>
      </c>
    </row>
    <row r="246" spans="1:57" x14ac:dyDescent="0.25">
      <c r="A246" s="60" t="s">
        <v>156</v>
      </c>
      <c r="B246" s="65" t="s">
        <v>111</v>
      </c>
      <c r="C246" s="62">
        <v>2009</v>
      </c>
      <c r="D246" s="1">
        <f>R246+F246+E246</f>
        <v>26</v>
      </c>
      <c r="G246" s="154"/>
      <c r="I246" s="205"/>
      <c r="J246" s="196"/>
      <c r="K246" s="186"/>
      <c r="L246" s="170"/>
      <c r="M246" s="50"/>
      <c r="N246" s="50"/>
      <c r="O246" s="219">
        <f>AA246</f>
        <v>26</v>
      </c>
      <c r="P246" s="120"/>
      <c r="Q246" s="96">
        <f>I246+J246+K246+L246+M246+N246+O246</f>
        <v>26</v>
      </c>
      <c r="R246" s="97">
        <f>IF(C246=2012, Q246/3,Q246)+P246</f>
        <v>26</v>
      </c>
      <c r="S246" s="22"/>
      <c r="T246" s="219"/>
      <c r="U246" s="50"/>
      <c r="V246" s="50"/>
      <c r="W246" s="50"/>
      <c r="X246" s="50">
        <f>AL246</f>
        <v>26</v>
      </c>
      <c r="Y246" s="120"/>
      <c r="Z246" s="96">
        <f>SUM(T246:X246)</f>
        <v>26</v>
      </c>
      <c r="AA246" s="97">
        <f>IF(C246=2011, Z246/3,Z246)+Y246</f>
        <v>26</v>
      </c>
      <c r="AB246" s="22"/>
      <c r="AD246" s="13">
        <v>4</v>
      </c>
      <c r="AF246" s="13">
        <f>14+1</f>
        <v>15</v>
      </c>
      <c r="AG246" s="13">
        <f>7</f>
        <v>7</v>
      </c>
      <c r="AJ246" s="95"/>
      <c r="AK246" s="96">
        <f>SUM(AC246:AI246)</f>
        <v>26</v>
      </c>
      <c r="AL246" s="97">
        <f>IF(C246=2010, AK246/3,AK246)+AJ246</f>
        <v>26</v>
      </c>
    </row>
    <row r="247" spans="1:57" x14ac:dyDescent="0.25">
      <c r="A247" s="60" t="s">
        <v>646</v>
      </c>
      <c r="B247" s="65" t="s">
        <v>297</v>
      </c>
      <c r="C247" s="62">
        <v>2010</v>
      </c>
      <c r="D247" s="1">
        <f>R247+F247+E247</f>
        <v>27</v>
      </c>
      <c r="G247" s="120"/>
      <c r="I247" s="205"/>
      <c r="J247" s="196"/>
      <c r="K247" s="186"/>
      <c r="L247" s="170"/>
      <c r="M247" s="50"/>
      <c r="N247" s="50"/>
      <c r="O247" s="219">
        <f>AA247</f>
        <v>27</v>
      </c>
      <c r="P247" s="120"/>
      <c r="Q247" s="96">
        <f>I247+J247+K247+L247+M247+N247+O247</f>
        <v>27</v>
      </c>
      <c r="R247" s="97">
        <f>IF(C247=2012, Q247/3,Q247)+P247</f>
        <v>27</v>
      </c>
      <c r="S247" s="22"/>
      <c r="T247" s="237"/>
      <c r="U247" s="50">
        <f>5</f>
        <v>5</v>
      </c>
      <c r="V247" s="50">
        <f>22</f>
        <v>22</v>
      </c>
      <c r="W247" s="50"/>
      <c r="X247" s="50"/>
      <c r="Y247" s="120"/>
      <c r="Z247" s="96">
        <f>SUM(T247:X247)</f>
        <v>27</v>
      </c>
      <c r="AA247" s="97">
        <f>IF(C247=2011, Z247/3,Z247)+Y247</f>
        <v>27</v>
      </c>
      <c r="AB247" s="22"/>
      <c r="AJ247" s="95"/>
      <c r="AK247" s="96"/>
      <c r="AL247" s="97"/>
    </row>
    <row r="248" spans="1:57" x14ac:dyDescent="0.25">
      <c r="A248" s="71" t="s">
        <v>246</v>
      </c>
      <c r="B248" s="71" t="s">
        <v>232</v>
      </c>
      <c r="C248" s="72">
        <v>2010</v>
      </c>
      <c r="D248" s="1">
        <f>R248+F248+E248</f>
        <v>20.666666666666668</v>
      </c>
      <c r="G248" s="154"/>
      <c r="I248" s="205"/>
      <c r="J248" s="196"/>
      <c r="K248" s="186"/>
      <c r="L248" s="170"/>
      <c r="M248" s="50"/>
      <c r="N248" s="50"/>
      <c r="O248" s="219">
        <f>AA248</f>
        <v>20.666666666666668</v>
      </c>
      <c r="P248" s="120"/>
      <c r="Q248" s="96">
        <f>I248+J248+K248+L248+M248+N248+O248</f>
        <v>20.666666666666668</v>
      </c>
      <c r="R248" s="97">
        <f>IF(C248=2012, Q248/3,Q248)+P248</f>
        <v>20.666666666666668</v>
      </c>
      <c r="S248" s="22"/>
      <c r="T248" s="50"/>
      <c r="U248" s="50"/>
      <c r="V248" s="50">
        <f>0</f>
        <v>0</v>
      </c>
      <c r="W248" s="50">
        <f>0</f>
        <v>0</v>
      </c>
      <c r="X248" s="50">
        <f>AL248</f>
        <v>20.666666666666668</v>
      </c>
      <c r="Y248" s="120"/>
      <c r="Z248" s="96">
        <f>SUM(T248:X248)</f>
        <v>20.666666666666668</v>
      </c>
      <c r="AA248" s="97">
        <f>IF(C248=2011, Z248/3,Z248)+Y248</f>
        <v>20.666666666666668</v>
      </c>
      <c r="AB248" s="22"/>
      <c r="AC248" s="237"/>
      <c r="AD248" s="237"/>
      <c r="AE248" s="237">
        <f>36</f>
        <v>36</v>
      </c>
      <c r="AF248" s="237">
        <f>26</f>
        <v>26</v>
      </c>
      <c r="AG248" s="237"/>
      <c r="AH248" s="237">
        <f>0</f>
        <v>0</v>
      </c>
      <c r="AI248" s="240"/>
      <c r="AJ248" s="95"/>
      <c r="AK248" s="96">
        <f>SUM(AC248:AI248)</f>
        <v>62</v>
      </c>
      <c r="AL248" s="97">
        <f>IF(C248=2010, AK248/3,AK248)+AJ248</f>
        <v>20.666666666666668</v>
      </c>
    </row>
    <row r="249" spans="1:57" x14ac:dyDescent="0.25">
      <c r="A249" s="71" t="s">
        <v>317</v>
      </c>
      <c r="B249" s="71" t="s">
        <v>63</v>
      </c>
      <c r="C249" s="72">
        <v>2010</v>
      </c>
      <c r="D249" s="1">
        <f>R249+F249+E249</f>
        <v>0</v>
      </c>
      <c r="G249" s="237"/>
      <c r="I249" s="205"/>
      <c r="J249" s="196"/>
      <c r="K249" s="186"/>
      <c r="L249" s="170"/>
      <c r="M249" s="50"/>
      <c r="N249" s="50"/>
      <c r="O249" s="219">
        <f>AA249</f>
        <v>0</v>
      </c>
      <c r="P249" s="120"/>
      <c r="Q249" s="96">
        <f>I249+J249+K249+L249+M249+N249+O249</f>
        <v>0</v>
      </c>
      <c r="R249" s="97">
        <f>IF(C249=2012, Q249/3,Q249)+P249</f>
        <v>0</v>
      </c>
      <c r="S249" s="22"/>
      <c r="T249" s="50"/>
      <c r="U249" s="50"/>
      <c r="V249" s="50"/>
      <c r="W249" s="50"/>
      <c r="X249" s="50">
        <f>AL249</f>
        <v>0</v>
      </c>
      <c r="Y249" s="120"/>
      <c r="Z249" s="96">
        <f>SUM(T249:X249)</f>
        <v>0</v>
      </c>
      <c r="AA249" s="97">
        <f>IF(C249=2011, Z249/3,Z249)+Y249</f>
        <v>0</v>
      </c>
      <c r="AB249" s="22"/>
      <c r="AC249" s="237"/>
      <c r="AD249" s="237"/>
      <c r="AE249" s="237"/>
      <c r="AF249" s="237">
        <f>0</f>
        <v>0</v>
      </c>
      <c r="AG249" s="237"/>
      <c r="AH249" s="237"/>
      <c r="AI249" s="240"/>
      <c r="AJ249" s="95"/>
      <c r="AK249" s="96">
        <f>SUM(AC249:AI249)</f>
        <v>0</v>
      </c>
      <c r="AL249" s="97">
        <f>IF(C249=2010, AK249/3,AK249)+AJ249</f>
        <v>0</v>
      </c>
    </row>
    <row r="250" spans="1:57" x14ac:dyDescent="0.25">
      <c r="A250" s="11" t="s">
        <v>141</v>
      </c>
      <c r="B250" s="60" t="s">
        <v>64</v>
      </c>
      <c r="C250" s="62">
        <v>2012</v>
      </c>
      <c r="D250" s="1">
        <f>R250+F250+E250</f>
        <v>2.6666666666666665</v>
      </c>
      <c r="G250" s="154"/>
      <c r="I250" s="205"/>
      <c r="J250" s="196"/>
      <c r="K250" s="186"/>
      <c r="L250" s="170"/>
      <c r="M250" s="50"/>
      <c r="N250" s="50"/>
      <c r="O250" s="219">
        <f>AA250</f>
        <v>8</v>
      </c>
      <c r="P250" s="120"/>
      <c r="Q250" s="96">
        <f>I250+J250+K250+L250+M250+N250+O250</f>
        <v>8</v>
      </c>
      <c r="R250" s="97">
        <f>IF(C250=2012, Q250/3,Q250)+P250</f>
        <v>2.6666666666666665</v>
      </c>
      <c r="S250" s="222"/>
      <c r="T250" s="222"/>
      <c r="U250" s="50"/>
      <c r="V250" s="50"/>
      <c r="W250" s="50"/>
      <c r="X250" s="50">
        <f>AL250</f>
        <v>8</v>
      </c>
      <c r="Y250" s="120"/>
      <c r="Z250" s="96">
        <f>SUM(T250:X250)</f>
        <v>8</v>
      </c>
      <c r="AA250" s="97">
        <f>IF(C250=2011, Z250/3,Z250)+Y250</f>
        <v>8</v>
      </c>
      <c r="AB250" s="22"/>
      <c r="AC250" s="41"/>
      <c r="AD250" s="41">
        <v>8</v>
      </c>
      <c r="AE250" s="41"/>
      <c r="AF250" s="41"/>
      <c r="AG250" s="41"/>
      <c r="AH250" s="41"/>
      <c r="AJ250" s="95"/>
      <c r="AK250" s="96">
        <f>SUM(AC250:AI250)</f>
        <v>8</v>
      </c>
      <c r="AL250" s="97">
        <f>IF(C250=2015, AK250/3,AK250)+AJ250</f>
        <v>8</v>
      </c>
    </row>
    <row r="251" spans="1:57" x14ac:dyDescent="0.25">
      <c r="A251" s="11" t="s">
        <v>486</v>
      </c>
      <c r="B251" s="60" t="s">
        <v>63</v>
      </c>
      <c r="C251" s="62">
        <v>2010</v>
      </c>
      <c r="D251" s="1">
        <f>R251+F251+E251</f>
        <v>246</v>
      </c>
      <c r="G251" s="154"/>
      <c r="I251" s="205"/>
      <c r="J251" s="196"/>
      <c r="K251" s="186">
        <f>20+8</f>
        <v>28</v>
      </c>
      <c r="L251" s="170">
        <f>24+3+6+6</f>
        <v>39</v>
      </c>
      <c r="M251" s="50">
        <f>24+8+3+6</f>
        <v>41</v>
      </c>
      <c r="N251" s="50">
        <f>24+4+9</f>
        <v>37</v>
      </c>
      <c r="O251" s="219">
        <f>AA251</f>
        <v>101</v>
      </c>
      <c r="P251" s="120"/>
      <c r="Q251" s="96">
        <f>I251+J251+K251+L251+M251+N251+O251</f>
        <v>246</v>
      </c>
      <c r="R251" s="97">
        <f>IF(C251=2012, Q251/3,Q251)+P251</f>
        <v>246</v>
      </c>
      <c r="S251" s="22"/>
      <c r="T251" s="50">
        <f>24+10</f>
        <v>34</v>
      </c>
      <c r="U251" s="50">
        <f>21+12</f>
        <v>33</v>
      </c>
      <c r="V251" s="50">
        <f>22+12</f>
        <v>34</v>
      </c>
      <c r="W251" s="50">
        <f>0</f>
        <v>0</v>
      </c>
      <c r="X251" s="50">
        <f>AL251</f>
        <v>0</v>
      </c>
      <c r="Y251" s="120"/>
      <c r="Z251" s="96">
        <f>SUM(T251:X251)</f>
        <v>101</v>
      </c>
      <c r="AA251" s="97">
        <f>IF(C251=2011, Z251/3,Z251)+Y251</f>
        <v>101</v>
      </c>
      <c r="AB251" s="22"/>
      <c r="AC251" s="41"/>
      <c r="AD251" s="41"/>
      <c r="AE251" s="41"/>
      <c r="AF251" s="41"/>
      <c r="AG251" s="41"/>
      <c r="AH251" s="41">
        <f>0</f>
        <v>0</v>
      </c>
      <c r="AJ251" s="95"/>
      <c r="AK251" s="96">
        <f>SUM(AC251:AI251)</f>
        <v>0</v>
      </c>
      <c r="AL251" s="97">
        <f>IF(C251=2010, AK251/3,AK251)+AJ251</f>
        <v>0</v>
      </c>
    </row>
    <row r="252" spans="1:57" x14ac:dyDescent="0.25">
      <c r="A252" s="11" t="s">
        <v>750</v>
      </c>
      <c r="B252" s="60" t="s">
        <v>63</v>
      </c>
      <c r="C252" s="62">
        <v>2010</v>
      </c>
      <c r="D252" s="1">
        <f>R252+F252+E252</f>
        <v>5</v>
      </c>
      <c r="G252" s="154"/>
      <c r="I252" s="205"/>
      <c r="J252" s="196"/>
      <c r="K252" s="186"/>
      <c r="L252" s="170"/>
      <c r="M252" s="50"/>
      <c r="N252" s="50"/>
      <c r="O252" s="219">
        <f>AA252</f>
        <v>5</v>
      </c>
      <c r="P252" s="120"/>
      <c r="Q252" s="96">
        <f>I252+J252+K252+L252+M252+N252+O252</f>
        <v>5</v>
      </c>
      <c r="R252" s="97">
        <f>IF(C252=2012, Q252/3,Q252)+P252</f>
        <v>5</v>
      </c>
      <c r="S252" s="22"/>
      <c r="T252" s="219">
        <f>5</f>
        <v>5</v>
      </c>
      <c r="U252" s="50"/>
      <c r="V252" s="50"/>
      <c r="W252" s="50"/>
      <c r="X252" s="50"/>
      <c r="Y252" s="120"/>
      <c r="Z252" s="96">
        <f>SUM(T252:X252)</f>
        <v>5</v>
      </c>
      <c r="AA252" s="97">
        <f>IF(C252=2011, Z252/3,Z252)+Y252</f>
        <v>5</v>
      </c>
      <c r="AB252" s="22"/>
      <c r="AC252" s="41"/>
      <c r="AD252" s="41"/>
      <c r="AE252" s="41"/>
      <c r="AF252" s="41"/>
      <c r="AG252" s="41"/>
      <c r="AH252" s="41"/>
      <c r="AJ252" s="95"/>
      <c r="AK252" s="96"/>
      <c r="AL252" s="97"/>
    </row>
    <row r="253" spans="1:57" x14ac:dyDescent="0.25">
      <c r="A253" s="51" t="s">
        <v>570</v>
      </c>
      <c r="B253" s="51" t="s">
        <v>64</v>
      </c>
      <c r="C253" s="52">
        <v>2011</v>
      </c>
      <c r="D253" s="1">
        <f>R253+F253+E253</f>
        <v>289.66666666666663</v>
      </c>
      <c r="G253" s="154"/>
      <c r="I253" s="205"/>
      <c r="J253" s="196"/>
      <c r="K253" s="186"/>
      <c r="L253" s="170"/>
      <c r="M253" s="50">
        <f>0</f>
        <v>0</v>
      </c>
      <c r="N253" s="50">
        <f>39</f>
        <v>39</v>
      </c>
      <c r="O253" s="219">
        <f>AA253</f>
        <v>241.66666666666666</v>
      </c>
      <c r="P253" s="120">
        <f>3+6</f>
        <v>9</v>
      </c>
      <c r="Q253" s="96">
        <f>I253+J253+K253+L253+M253+N253+O253</f>
        <v>280.66666666666663</v>
      </c>
      <c r="R253" s="97">
        <f>IF(C253=2012, Q253/3,Q253)+P253</f>
        <v>289.66666666666663</v>
      </c>
      <c r="S253" s="237"/>
      <c r="T253" s="237"/>
      <c r="U253" s="50">
        <f>30+51</f>
        <v>81</v>
      </c>
      <c r="V253" s="50">
        <f>171+57</f>
        <v>228</v>
      </c>
      <c r="W253" s="50">
        <f>48</f>
        <v>48</v>
      </c>
      <c r="X253" s="50">
        <f>350</f>
        <v>350</v>
      </c>
      <c r="Y253" s="120">
        <f>6</f>
        <v>6</v>
      </c>
      <c r="Z253" s="96">
        <f>SUM(T253:X253)</f>
        <v>707</v>
      </c>
      <c r="AA253" s="97">
        <f>IF(C253=2011, Z253/3,Z253)+Y253</f>
        <v>241.66666666666666</v>
      </c>
      <c r="AB253" s="22"/>
      <c r="AC253" s="237"/>
      <c r="AD253" s="237"/>
      <c r="AE253" s="237"/>
      <c r="AF253" s="237"/>
      <c r="AG253" s="237"/>
      <c r="AH253" s="237"/>
      <c r="AI253" s="237"/>
      <c r="AJ253" s="95"/>
      <c r="AK253" s="96"/>
      <c r="AL253" s="97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</row>
    <row r="254" spans="1:57" x14ac:dyDescent="0.25">
      <c r="A254" s="11" t="s">
        <v>674</v>
      </c>
      <c r="B254" s="60" t="s">
        <v>602</v>
      </c>
      <c r="C254" s="62" t="s">
        <v>675</v>
      </c>
      <c r="D254" s="1">
        <f>R254+F254+E254</f>
        <v>69</v>
      </c>
      <c r="G254" s="154"/>
      <c r="I254" s="205"/>
      <c r="J254" s="196"/>
      <c r="K254" s="186"/>
      <c r="L254" s="170"/>
      <c r="M254" s="50"/>
      <c r="N254" s="50"/>
      <c r="O254" s="219">
        <f>AA254</f>
        <v>69</v>
      </c>
      <c r="P254" s="120"/>
      <c r="Q254" s="96">
        <f>I254+J254+K254+L254+M254+N254+O254</f>
        <v>69</v>
      </c>
      <c r="R254" s="97">
        <f>IF(C254=2012, Q254/3,Q254)+P254</f>
        <v>69</v>
      </c>
      <c r="S254" s="22"/>
      <c r="T254" s="219"/>
      <c r="U254" s="50"/>
      <c r="V254" s="50">
        <f>69</f>
        <v>69</v>
      </c>
      <c r="W254" s="50"/>
      <c r="X254" s="50"/>
      <c r="Y254" s="120"/>
      <c r="Z254" s="96">
        <f>SUM(T254:X254)</f>
        <v>69</v>
      </c>
      <c r="AA254" s="97">
        <f>IF(C254=2011, Z254/3,Z254)+Y254</f>
        <v>69</v>
      </c>
      <c r="AB254" s="22"/>
      <c r="AC254" s="41"/>
      <c r="AD254" s="41"/>
      <c r="AE254" s="41"/>
      <c r="AF254" s="41"/>
      <c r="AG254" s="41"/>
      <c r="AH254" s="41"/>
      <c r="AJ254" s="95"/>
      <c r="AK254" s="96"/>
      <c r="AL254" s="97"/>
    </row>
    <row r="255" spans="1:57" x14ac:dyDescent="0.25">
      <c r="A255" s="11" t="s">
        <v>542</v>
      </c>
      <c r="B255" s="60" t="s">
        <v>7</v>
      </c>
      <c r="C255" s="62">
        <v>2012</v>
      </c>
      <c r="D255" s="1">
        <f>R255+F255+E255</f>
        <v>40.333333333333336</v>
      </c>
      <c r="G255" s="154"/>
      <c r="I255" s="205"/>
      <c r="J255" s="196"/>
      <c r="K255" s="186"/>
      <c r="L255" s="170">
        <f>16</f>
        <v>16</v>
      </c>
      <c r="M255" s="50">
        <f>50</f>
        <v>50</v>
      </c>
      <c r="N255" s="50"/>
      <c r="O255" s="219">
        <f>AA255</f>
        <v>55</v>
      </c>
      <c r="P255" s="120"/>
      <c r="Q255" s="96">
        <f>I255+J255+K255+L255+M255+N255+O255</f>
        <v>121</v>
      </c>
      <c r="R255" s="97">
        <f>IF(C255=2012, Q255/3,Q255)+P255</f>
        <v>40.333333333333336</v>
      </c>
      <c r="S255" s="238"/>
      <c r="T255" s="238"/>
      <c r="U255" s="50">
        <f>17</f>
        <v>17</v>
      </c>
      <c r="V255" s="50">
        <f>25</f>
        <v>25</v>
      </c>
      <c r="W255" s="50">
        <f>13</f>
        <v>13</v>
      </c>
      <c r="X255" s="50">
        <f>AL255</f>
        <v>0</v>
      </c>
      <c r="Y255" s="120"/>
      <c r="Z255" s="96">
        <f>SUM(T255:X255)</f>
        <v>55</v>
      </c>
      <c r="AA255" s="97">
        <f>IF(C255=2011, Z255/3,Z255)+Y255</f>
        <v>55</v>
      </c>
      <c r="AB255" s="22"/>
      <c r="AC255" s="41"/>
      <c r="AD255" s="41"/>
      <c r="AE255" s="41"/>
      <c r="AF255" s="41"/>
      <c r="AG255" s="41"/>
      <c r="AH255" s="41">
        <f>0</f>
        <v>0</v>
      </c>
      <c r="AJ255" s="95"/>
      <c r="AK255" s="96">
        <f>SUM(AC255:AI255)</f>
        <v>0</v>
      </c>
      <c r="AL255" s="97">
        <f>IF(C255=2015, AK255/3,AK255)+AJ255</f>
        <v>0</v>
      </c>
    </row>
    <row r="256" spans="1:57" x14ac:dyDescent="0.25">
      <c r="A256" s="71" t="s">
        <v>835</v>
      </c>
      <c r="B256" s="71" t="s">
        <v>0</v>
      </c>
      <c r="C256" s="72">
        <v>2012</v>
      </c>
      <c r="D256" s="1">
        <f>R256+F256+E256</f>
        <v>8.6666666666666661</v>
      </c>
      <c r="G256" s="154"/>
      <c r="I256" s="205"/>
      <c r="J256" s="196"/>
      <c r="K256" s="186">
        <f>0</f>
        <v>0</v>
      </c>
      <c r="L256" s="170">
        <f>0</f>
        <v>0</v>
      </c>
      <c r="M256" s="50">
        <f>23+3</f>
        <v>26</v>
      </c>
      <c r="N256" s="50"/>
      <c r="O256" s="219">
        <f>AA256</f>
        <v>0</v>
      </c>
      <c r="P256" s="154"/>
      <c r="Q256" s="96">
        <f>I256+J256+K256+L256+M256+N256+O256</f>
        <v>26</v>
      </c>
      <c r="R256" s="97">
        <f>IF(C256=2012, Q256/3,Q256)+P256</f>
        <v>8.6666666666666661</v>
      </c>
      <c r="U256" s="50"/>
      <c r="V256" s="50"/>
      <c r="W256" s="50"/>
      <c r="X256" s="50"/>
      <c r="Y256" s="120"/>
      <c r="Z256" s="96">
        <f>SUM(T256:X256)</f>
        <v>0</v>
      </c>
      <c r="AA256" s="97">
        <f>IF(C256=2011, Z256/3,Z256)+Y256</f>
        <v>0</v>
      </c>
      <c r="AB256" s="22"/>
      <c r="AC256" s="205"/>
      <c r="AD256" s="205"/>
      <c r="AE256" s="205"/>
      <c r="AF256" s="205"/>
      <c r="AG256" s="205"/>
      <c r="AH256" s="205"/>
      <c r="AI256" s="36"/>
      <c r="AJ256" s="95"/>
      <c r="AK256" s="96"/>
      <c r="AL256" s="97"/>
    </row>
    <row r="257" spans="1:38" x14ac:dyDescent="0.25">
      <c r="A257" s="11" t="s">
        <v>808</v>
      </c>
      <c r="B257" s="60" t="s">
        <v>587</v>
      </c>
      <c r="C257" s="62">
        <v>2009</v>
      </c>
      <c r="D257" s="1">
        <f>R257+F257+E257</f>
        <v>12</v>
      </c>
      <c r="E257" s="237"/>
      <c r="F257" s="237"/>
      <c r="G257" s="154"/>
      <c r="H257" s="237"/>
      <c r="I257" s="205"/>
      <c r="J257" s="196"/>
      <c r="K257" s="186"/>
      <c r="L257" s="170"/>
      <c r="M257" s="50"/>
      <c r="N257" s="50">
        <f>12</f>
        <v>12</v>
      </c>
      <c r="O257" s="219">
        <f>AA257</f>
        <v>0</v>
      </c>
      <c r="P257" s="120"/>
      <c r="Q257" s="96">
        <f>I257+J257+K257+L257+M257+N257+O257</f>
        <v>12</v>
      </c>
      <c r="R257" s="97">
        <f>IF(C257=2012, Q257/3,Q257)+P257</f>
        <v>12</v>
      </c>
      <c r="S257" s="22"/>
      <c r="T257" s="50"/>
      <c r="U257" s="50"/>
      <c r="V257" s="50"/>
      <c r="W257" s="50"/>
      <c r="X257" s="50"/>
      <c r="Y257" s="120"/>
      <c r="Z257" s="96">
        <f>SUM(T257:X257)</f>
        <v>0</v>
      </c>
      <c r="AA257" s="97"/>
      <c r="AB257" s="22"/>
      <c r="AC257" s="41"/>
      <c r="AD257" s="41"/>
      <c r="AE257" s="41"/>
      <c r="AF257" s="41"/>
      <c r="AG257" s="41"/>
      <c r="AH257" s="41"/>
      <c r="AJ257" s="95"/>
      <c r="AK257" s="96"/>
      <c r="AL257" s="97"/>
    </row>
    <row r="258" spans="1:38" ht="14.25" customHeight="1" x14ac:dyDescent="0.25">
      <c r="A258" s="60" t="s">
        <v>385</v>
      </c>
      <c r="B258" s="65" t="s">
        <v>380</v>
      </c>
      <c r="C258" s="62">
        <v>2009</v>
      </c>
      <c r="D258" s="1">
        <f>R258+F258+E258</f>
        <v>12</v>
      </c>
      <c r="E258" s="237"/>
      <c r="F258" s="237"/>
      <c r="G258" s="154"/>
      <c r="H258" s="237"/>
      <c r="I258" s="205"/>
      <c r="J258" s="196"/>
      <c r="K258" s="186"/>
      <c r="L258" s="170"/>
      <c r="M258" s="50"/>
      <c r="N258" s="50"/>
      <c r="O258" s="219">
        <f>AA258</f>
        <v>12</v>
      </c>
      <c r="P258" s="120"/>
      <c r="Q258" s="96">
        <f>I258+J258+K258+L258+M258+N258+O258</f>
        <v>12</v>
      </c>
      <c r="R258" s="97">
        <f>IF(C258=2012, Q258/3,Q258)+P258</f>
        <v>12</v>
      </c>
      <c r="S258" s="22"/>
      <c r="T258" s="50"/>
      <c r="U258" s="50"/>
      <c r="V258" s="50"/>
      <c r="W258" s="50"/>
      <c r="X258" s="50">
        <f>AL258</f>
        <v>12</v>
      </c>
      <c r="Y258" s="120"/>
      <c r="Z258" s="96">
        <f>SUM(T258:X258)</f>
        <v>12</v>
      </c>
      <c r="AA258" s="97">
        <f>IF(C258=2011, Z258/3,Z258)+Y258</f>
        <v>12</v>
      </c>
      <c r="AB258" s="22"/>
      <c r="AF258" s="13">
        <f>3</f>
        <v>3</v>
      </c>
      <c r="AH258" s="13">
        <f>9</f>
        <v>9</v>
      </c>
      <c r="AJ258" s="95"/>
      <c r="AK258" s="96">
        <f>SUM(AC258:AI258)</f>
        <v>12</v>
      </c>
      <c r="AL258" s="97">
        <f>IF(C258=2010, AK258/3,AK258)+AJ258</f>
        <v>12</v>
      </c>
    </row>
    <row r="259" spans="1:38" x14ac:dyDescent="0.25">
      <c r="A259" s="11" t="s">
        <v>828</v>
      </c>
      <c r="B259" s="60" t="s">
        <v>587</v>
      </c>
      <c r="C259" s="62">
        <v>2012</v>
      </c>
      <c r="D259" s="1">
        <f>R259+F259+E259</f>
        <v>1</v>
      </c>
      <c r="E259" s="237"/>
      <c r="F259" s="237"/>
      <c r="G259" s="154"/>
      <c r="H259" s="237"/>
      <c r="I259" s="205"/>
      <c r="J259" s="196"/>
      <c r="K259" s="186"/>
      <c r="L259" s="170"/>
      <c r="M259" s="50"/>
      <c r="N259" s="50">
        <f>3</f>
        <v>3</v>
      </c>
      <c r="O259" s="219">
        <f>AA259</f>
        <v>0</v>
      </c>
      <c r="P259" s="154"/>
      <c r="Q259" s="96">
        <f>I259+J259+K259+L259+M259+N259+O259</f>
        <v>3</v>
      </c>
      <c r="R259" s="97">
        <f>IF(C259=2012, Q259/3,Q259)+P259</f>
        <v>1</v>
      </c>
      <c r="S259" s="238"/>
      <c r="T259" s="238"/>
      <c r="U259" s="50"/>
      <c r="V259" s="50"/>
      <c r="W259" s="50"/>
      <c r="X259" s="50"/>
      <c r="Y259" s="120"/>
      <c r="Z259" s="96">
        <f>SUM(T259:X259)</f>
        <v>0</v>
      </c>
      <c r="AA259" s="97">
        <f>IF(C259=2011, Z259/3,Z259)+Y259</f>
        <v>0</v>
      </c>
      <c r="AB259" s="22"/>
      <c r="AC259" s="153"/>
      <c r="AD259" s="153"/>
      <c r="AE259" s="153"/>
      <c r="AF259" s="153"/>
      <c r="AG259" s="153"/>
      <c r="AH259" s="153"/>
      <c r="AJ259" s="95"/>
      <c r="AK259" s="96"/>
      <c r="AL259" s="97"/>
    </row>
    <row r="260" spans="1:38" x14ac:dyDescent="0.25">
      <c r="A260" s="11" t="s">
        <v>816</v>
      </c>
      <c r="B260" s="60" t="s">
        <v>587</v>
      </c>
      <c r="C260" s="62">
        <v>2010</v>
      </c>
      <c r="D260" s="1">
        <f>R260+F260+E260</f>
        <v>12</v>
      </c>
      <c r="E260" s="237"/>
      <c r="F260" s="237"/>
      <c r="G260" s="154"/>
      <c r="H260" s="237"/>
      <c r="I260" s="205"/>
      <c r="J260" s="196"/>
      <c r="K260" s="186"/>
      <c r="L260" s="170"/>
      <c r="M260" s="50"/>
      <c r="N260" s="50">
        <f>12</f>
        <v>12</v>
      </c>
      <c r="O260" s="219">
        <f>AA260</f>
        <v>0</v>
      </c>
      <c r="P260" s="120"/>
      <c r="Q260" s="96">
        <f>I260+J260+K260+L260+M260+N260+O260</f>
        <v>12</v>
      </c>
      <c r="R260" s="97">
        <f>IF(C260=2012, Q260/3,Q260)+P260</f>
        <v>12</v>
      </c>
      <c r="S260" s="22"/>
      <c r="T260" s="50"/>
      <c r="U260" s="50"/>
      <c r="V260" s="50"/>
      <c r="W260" s="50"/>
      <c r="X260" s="50"/>
      <c r="Y260" s="120"/>
      <c r="Z260" s="96">
        <f>SUM(T260:X260)</f>
        <v>0</v>
      </c>
      <c r="AA260" s="97"/>
      <c r="AB260" s="22"/>
      <c r="AC260" s="41"/>
      <c r="AD260" s="41"/>
      <c r="AE260" s="41"/>
      <c r="AF260" s="41"/>
      <c r="AG260" s="41"/>
      <c r="AH260" s="41"/>
      <c r="AJ260" s="95"/>
      <c r="AK260" s="96"/>
      <c r="AL260" s="97"/>
    </row>
    <row r="261" spans="1:38" x14ac:dyDescent="0.25">
      <c r="A261" s="53" t="s">
        <v>791</v>
      </c>
      <c r="B261" s="84" t="s">
        <v>297</v>
      </c>
      <c r="C261" s="54">
        <v>2009</v>
      </c>
      <c r="D261" s="1">
        <f>R261+F261+E261</f>
        <v>0</v>
      </c>
      <c r="E261" s="237"/>
      <c r="F261" s="237"/>
      <c r="G261" s="154"/>
      <c r="H261" s="237"/>
      <c r="I261" s="205"/>
      <c r="J261" s="196"/>
      <c r="K261" s="186"/>
      <c r="L261" s="170"/>
      <c r="M261" s="50"/>
      <c r="N261" s="50">
        <f>0</f>
        <v>0</v>
      </c>
      <c r="O261" s="219">
        <f>AA261</f>
        <v>0</v>
      </c>
      <c r="P261" s="120"/>
      <c r="Q261" s="96">
        <f>I261+J261+K261+L261+M261+N261+O261</f>
        <v>0</v>
      </c>
      <c r="R261" s="97">
        <f>IF(C261=2012, Q261/3,Q261)+P261</f>
        <v>0</v>
      </c>
      <c r="S261" s="22"/>
      <c r="T261" s="237"/>
      <c r="U261" s="50"/>
      <c r="V261" s="50"/>
      <c r="W261" s="50"/>
      <c r="X261" s="50"/>
      <c r="Y261" s="120"/>
      <c r="Z261" s="96">
        <f>SUM(T261:X261)</f>
        <v>0</v>
      </c>
      <c r="AA261" s="97"/>
      <c r="AB261" s="22"/>
      <c r="AC261" s="41"/>
      <c r="AD261" s="41"/>
      <c r="AE261" s="41"/>
      <c r="AF261" s="41"/>
      <c r="AG261" s="41"/>
      <c r="AH261" s="41"/>
      <c r="AI261" s="41"/>
      <c r="AJ261" s="95"/>
      <c r="AK261" s="96"/>
      <c r="AL261" s="97"/>
    </row>
    <row r="262" spans="1:38" x14ac:dyDescent="0.25">
      <c r="A262" s="11" t="s">
        <v>920</v>
      </c>
      <c r="B262" s="60" t="s">
        <v>64</v>
      </c>
      <c r="C262" s="62"/>
      <c r="D262" s="1">
        <f>R262+F262+E262</f>
        <v>3</v>
      </c>
      <c r="E262" s="237"/>
      <c r="F262" s="237"/>
      <c r="G262" s="237"/>
      <c r="H262" s="237"/>
      <c r="I262" s="205"/>
      <c r="J262" s="196"/>
      <c r="K262" s="186"/>
      <c r="L262" s="170">
        <f>3</f>
        <v>3</v>
      </c>
      <c r="M262" s="50"/>
      <c r="N262" s="50"/>
      <c r="O262" s="219">
        <f>AA262</f>
        <v>0</v>
      </c>
      <c r="P262" s="120"/>
      <c r="Q262" s="96">
        <f>I262+J262+K262+L262+M262+N262+O262</f>
        <v>3</v>
      </c>
      <c r="R262" s="97">
        <f>IF(C262=2012, Q262/3,Q262)+P262</f>
        <v>3</v>
      </c>
      <c r="S262" s="22"/>
      <c r="T262" s="50"/>
      <c r="U262" s="50"/>
      <c r="V262" s="50"/>
      <c r="W262" s="50"/>
      <c r="X262" s="50"/>
      <c r="Y262" s="120"/>
      <c r="Z262" s="96">
        <f>SUM(T262:X262)</f>
        <v>0</v>
      </c>
      <c r="AA262" s="97">
        <f>IF(C262=2011, Z262/3,Z262)+Y262</f>
        <v>0</v>
      </c>
      <c r="AB262" s="22"/>
      <c r="AC262" s="41"/>
      <c r="AD262" s="41"/>
      <c r="AE262" s="41"/>
      <c r="AF262" s="41"/>
      <c r="AG262" s="41"/>
      <c r="AH262" s="41"/>
      <c r="AJ262" s="95"/>
      <c r="AK262" s="96"/>
      <c r="AL262" s="97"/>
    </row>
    <row r="263" spans="1:38" x14ac:dyDescent="0.25">
      <c r="A263" s="11" t="s">
        <v>129</v>
      </c>
      <c r="B263" s="60" t="s">
        <v>111</v>
      </c>
      <c r="C263" s="62">
        <v>2012</v>
      </c>
      <c r="D263" s="1">
        <f>R263+F263+E263</f>
        <v>116</v>
      </c>
      <c r="E263" s="237"/>
      <c r="F263" s="237"/>
      <c r="G263" s="154"/>
      <c r="H263" s="237"/>
      <c r="I263" s="205"/>
      <c r="J263" s="196"/>
      <c r="K263" s="186">
        <f>3</f>
        <v>3</v>
      </c>
      <c r="L263" s="170">
        <f>0</f>
        <v>0</v>
      </c>
      <c r="M263" s="50">
        <f>22</f>
        <v>22</v>
      </c>
      <c r="N263" s="50"/>
      <c r="O263" s="219">
        <f>AA263</f>
        <v>251</v>
      </c>
      <c r="P263" s="120">
        <f>6+6+6+6</f>
        <v>24</v>
      </c>
      <c r="Q263" s="96">
        <f>I263+J263+K263+L263+M263+N263+O263</f>
        <v>276</v>
      </c>
      <c r="R263" s="97">
        <f>IF(C263=2012, Q263/3,Q263)+P263</f>
        <v>116</v>
      </c>
      <c r="S263" s="222"/>
      <c r="T263" s="222"/>
      <c r="U263" s="50">
        <f>24+39</f>
        <v>63</v>
      </c>
      <c r="V263" s="50">
        <f>13+3</f>
        <v>16</v>
      </c>
      <c r="W263" s="50">
        <f>18+21</f>
        <v>39</v>
      </c>
      <c r="X263" s="50">
        <f>AL263</f>
        <v>133</v>
      </c>
      <c r="Y263" s="120"/>
      <c r="Z263" s="96">
        <f>SUM(T263:X263)</f>
        <v>251</v>
      </c>
      <c r="AA263" s="97">
        <f>IF(C263=2011, Z263/3,Z263)+Y263</f>
        <v>251</v>
      </c>
      <c r="AB263" s="22"/>
      <c r="AC263" s="41"/>
      <c r="AD263" s="41">
        <v>20</v>
      </c>
      <c r="AE263" s="41"/>
      <c r="AF263" s="41">
        <f>36+5</f>
        <v>41</v>
      </c>
      <c r="AG263" s="41">
        <f>10+15</f>
        <v>25</v>
      </c>
      <c r="AH263" s="41">
        <f>32+15</f>
        <v>47</v>
      </c>
      <c r="AJ263" s="95"/>
      <c r="AK263" s="96">
        <f>SUM(AC263:AI263)</f>
        <v>133</v>
      </c>
      <c r="AL263" s="97">
        <f>IF(C263=2015, AK263/3,AK263)+AJ263</f>
        <v>133</v>
      </c>
    </row>
    <row r="264" spans="1:38" x14ac:dyDescent="0.25">
      <c r="A264" s="11" t="s">
        <v>790</v>
      </c>
      <c r="B264" s="60" t="s">
        <v>633</v>
      </c>
      <c r="C264" s="62">
        <v>2011</v>
      </c>
      <c r="D264" s="1">
        <f>R264+F264+E264</f>
        <v>13</v>
      </c>
      <c r="E264" s="237"/>
      <c r="F264" s="237"/>
      <c r="G264" s="154"/>
      <c r="H264" s="237"/>
      <c r="I264" s="205"/>
      <c r="J264" s="196"/>
      <c r="K264" s="186"/>
      <c r="L264" s="170"/>
      <c r="M264" s="50">
        <f>0+3</f>
        <v>3</v>
      </c>
      <c r="N264" s="50">
        <f>8+2</f>
        <v>10</v>
      </c>
      <c r="O264" s="219">
        <f>AA264</f>
        <v>0</v>
      </c>
      <c r="P264" s="120"/>
      <c r="Q264" s="96">
        <f>I264+J264+K264+L264+M264+N264+O264</f>
        <v>13</v>
      </c>
      <c r="R264" s="97">
        <f>IF(C264=2012, Q264/3,Q264)+P264</f>
        <v>13</v>
      </c>
      <c r="S264" s="22"/>
      <c r="T264" s="219"/>
      <c r="U264" s="50"/>
      <c r="V264" s="50"/>
      <c r="W264" s="50"/>
      <c r="X264" s="50"/>
      <c r="Y264" s="120"/>
      <c r="Z264" s="96">
        <f>SUM(T264:X264)</f>
        <v>0</v>
      </c>
      <c r="AA264" s="97"/>
      <c r="AB264" s="22"/>
      <c r="AC264" s="41"/>
      <c r="AD264" s="41"/>
      <c r="AE264" s="41"/>
      <c r="AF264" s="41"/>
      <c r="AG264" s="41"/>
      <c r="AH264" s="41"/>
      <c r="AJ264" s="95"/>
      <c r="AK264" s="96"/>
      <c r="AL264" s="97"/>
    </row>
    <row r="265" spans="1:38" x14ac:dyDescent="0.25">
      <c r="A265" s="11" t="s">
        <v>705</v>
      </c>
      <c r="B265" s="60" t="s">
        <v>706</v>
      </c>
      <c r="C265" s="62">
        <v>2009</v>
      </c>
      <c r="D265" s="1">
        <f>R265+F265+E265</f>
        <v>3</v>
      </c>
      <c r="G265" s="154"/>
      <c r="I265" s="205"/>
      <c r="J265" s="196"/>
      <c r="K265" s="186"/>
      <c r="L265" s="170"/>
      <c r="M265" s="50"/>
      <c r="N265" s="50"/>
      <c r="O265" s="219">
        <f>AA265</f>
        <v>3</v>
      </c>
      <c r="P265" s="120"/>
      <c r="Q265" s="96">
        <f>I265+J265+K265+L265+M265+N265+O265</f>
        <v>3</v>
      </c>
      <c r="R265" s="97">
        <f>IF(C265=2012, Q265/3,Q265)+P265</f>
        <v>3</v>
      </c>
      <c r="S265" s="22"/>
      <c r="T265" s="237"/>
      <c r="U265" s="50">
        <f>3</f>
        <v>3</v>
      </c>
      <c r="V265" s="50"/>
      <c r="W265" s="50"/>
      <c r="X265" s="50"/>
      <c r="Y265" s="120"/>
      <c r="Z265" s="96">
        <f>SUM(T265:X265)</f>
        <v>3</v>
      </c>
      <c r="AA265" s="97">
        <f>IF(C265=2011, Z265/3,Z265)+Y265</f>
        <v>3</v>
      </c>
      <c r="AB265" s="22"/>
      <c r="AC265" s="41"/>
      <c r="AD265" s="41"/>
      <c r="AE265" s="41"/>
      <c r="AF265" s="41"/>
      <c r="AG265" s="41"/>
      <c r="AH265" s="41"/>
      <c r="AJ265" s="95"/>
      <c r="AK265" s="96"/>
      <c r="AL265" s="97"/>
    </row>
    <row r="266" spans="1:38" x14ac:dyDescent="0.25">
      <c r="A266" s="11" t="s">
        <v>695</v>
      </c>
      <c r="B266" s="60" t="s">
        <v>551</v>
      </c>
      <c r="C266" s="62">
        <v>2012</v>
      </c>
      <c r="D266" s="1">
        <f>R266+F266+E266</f>
        <v>27.666666666666668</v>
      </c>
      <c r="G266" s="154"/>
      <c r="I266" s="205"/>
      <c r="J266" s="196"/>
      <c r="K266" s="186">
        <f>12+2</f>
        <v>14</v>
      </c>
      <c r="L266" s="170"/>
      <c r="M266" s="50">
        <f>36+4+6</f>
        <v>46</v>
      </c>
      <c r="N266" s="50">
        <f>23</f>
        <v>23</v>
      </c>
      <c r="O266" s="219">
        <f>AA266</f>
        <v>0</v>
      </c>
      <c r="P266" s="154"/>
      <c r="Q266" s="96">
        <f>I266+J266+K266+L266+M266+N266+O266</f>
        <v>83</v>
      </c>
      <c r="R266" s="97">
        <f>IF(C266=2012, Q266/3,Q266)+P266</f>
        <v>27.666666666666668</v>
      </c>
      <c r="S266" s="238"/>
      <c r="T266" s="238"/>
      <c r="U266" s="50">
        <f>0</f>
        <v>0</v>
      </c>
      <c r="V266" s="50"/>
      <c r="W266" s="50"/>
      <c r="X266" s="50"/>
      <c r="Y266" s="120"/>
      <c r="Z266" s="96">
        <f>SUM(T266:X266)</f>
        <v>0</v>
      </c>
      <c r="AA266" s="97">
        <f>IF(C266=2011, Z266/3,Z266)+Y266</f>
        <v>0</v>
      </c>
      <c r="AB266" s="22"/>
      <c r="AC266" s="153"/>
      <c r="AD266" s="153"/>
      <c r="AE266" s="153"/>
      <c r="AF266" s="153"/>
      <c r="AG266" s="153"/>
      <c r="AH266" s="153"/>
      <c r="AJ266" s="95"/>
      <c r="AK266" s="96">
        <f>SUM(AC266:AI266)</f>
        <v>0</v>
      </c>
      <c r="AL266" s="97">
        <f>IF(C266=2015, AK266/3,AK266)+AJ266</f>
        <v>0</v>
      </c>
    </row>
    <row r="267" spans="1:38" x14ac:dyDescent="0.25">
      <c r="A267" s="11" t="s">
        <v>794</v>
      </c>
      <c r="B267" s="60" t="s">
        <v>633</v>
      </c>
      <c r="C267" s="62">
        <v>2009</v>
      </c>
      <c r="D267" s="1">
        <f>R267+F267+E267</f>
        <v>42</v>
      </c>
      <c r="G267" s="154"/>
      <c r="I267" s="205"/>
      <c r="J267" s="196"/>
      <c r="K267" s="186"/>
      <c r="L267" s="170"/>
      <c r="M267" s="50">
        <f>24</f>
        <v>24</v>
      </c>
      <c r="N267" s="50">
        <f>18</f>
        <v>18</v>
      </c>
      <c r="O267" s="219">
        <f>AA267</f>
        <v>0</v>
      </c>
      <c r="P267" s="120"/>
      <c r="Q267" s="96">
        <f>I267+J267+K267+L267+M267+N267+O267</f>
        <v>42</v>
      </c>
      <c r="R267" s="97">
        <f>IF(C267=2012, Q267/3,Q267)+P267</f>
        <v>42</v>
      </c>
      <c r="S267" s="22"/>
      <c r="T267" s="50"/>
      <c r="U267" s="50"/>
      <c r="V267" s="50"/>
      <c r="W267" s="50"/>
      <c r="X267" s="50"/>
      <c r="Y267" s="120"/>
      <c r="Z267" s="96">
        <f>SUM(T267:X267)</f>
        <v>0</v>
      </c>
      <c r="AA267" s="97"/>
      <c r="AB267" s="22"/>
      <c r="AC267" s="41"/>
      <c r="AD267" s="41"/>
      <c r="AE267" s="41"/>
      <c r="AF267" s="41"/>
      <c r="AG267" s="41"/>
      <c r="AH267" s="41"/>
      <c r="AJ267" s="95"/>
      <c r="AK267" s="96"/>
      <c r="AL267" s="97"/>
    </row>
    <row r="268" spans="1:38" x14ac:dyDescent="0.25">
      <c r="A268" s="11" t="s">
        <v>852</v>
      </c>
      <c r="B268" s="60" t="s">
        <v>85</v>
      </c>
      <c r="C268" s="62">
        <v>2012</v>
      </c>
      <c r="D268" s="1">
        <f>R268+F268+E268</f>
        <v>13</v>
      </c>
      <c r="E268" s="237"/>
      <c r="F268" s="237"/>
      <c r="G268" s="154"/>
      <c r="H268" s="237"/>
      <c r="I268" s="205"/>
      <c r="J268" s="196"/>
      <c r="K268" s="186"/>
      <c r="L268" s="170"/>
      <c r="M268" s="50">
        <f>22+14+3</f>
        <v>39</v>
      </c>
      <c r="N268" s="50"/>
      <c r="O268" s="219">
        <f>AA268</f>
        <v>0</v>
      </c>
      <c r="P268" s="154"/>
      <c r="Q268" s="96">
        <f>I268+J268+K268+L268+M268+N268+O268</f>
        <v>39</v>
      </c>
      <c r="R268" s="97">
        <f>IF(C268=2012, Q268/3,Q268)+P268</f>
        <v>13</v>
      </c>
      <c r="U268" s="50"/>
      <c r="V268" s="50"/>
      <c r="W268" s="50"/>
      <c r="X268" s="50"/>
      <c r="Y268" s="120"/>
      <c r="Z268" s="96">
        <f>SUM(T268:X268)</f>
        <v>0</v>
      </c>
      <c r="AA268" s="97">
        <f>IF(C268=2011, Z268/3,Z268)+Y268</f>
        <v>0</v>
      </c>
      <c r="AB268" s="22"/>
      <c r="AC268" s="153"/>
      <c r="AD268" s="153"/>
      <c r="AE268" s="153"/>
      <c r="AF268" s="153"/>
      <c r="AG268" s="153"/>
      <c r="AH268" s="153"/>
      <c r="AJ268" s="95"/>
      <c r="AK268" s="96"/>
      <c r="AL268" s="97"/>
    </row>
    <row r="269" spans="1:38" x14ac:dyDescent="0.25">
      <c r="A269" s="71" t="s">
        <v>255</v>
      </c>
      <c r="B269" s="71" t="s">
        <v>232</v>
      </c>
      <c r="C269" s="72">
        <v>2011</v>
      </c>
      <c r="D269" s="1">
        <f>R269+F269+E269</f>
        <v>0</v>
      </c>
      <c r="G269" s="120"/>
      <c r="I269" s="205"/>
      <c r="J269" s="196"/>
      <c r="K269" s="186"/>
      <c r="L269" s="170"/>
      <c r="M269" s="50"/>
      <c r="N269" s="50"/>
      <c r="O269" s="219">
        <f>AA269</f>
        <v>0</v>
      </c>
      <c r="P269" s="120"/>
      <c r="Q269" s="96">
        <f>I269+J269+K269+L269+M269+N269+O269</f>
        <v>0</v>
      </c>
      <c r="R269" s="97">
        <f>IF(C269=2012, Q269/3,Q269)+P269</f>
        <v>0</v>
      </c>
      <c r="S269" s="237"/>
      <c r="T269" s="50"/>
      <c r="U269" s="50"/>
      <c r="V269" s="50"/>
      <c r="W269" s="50">
        <f>0</f>
        <v>0</v>
      </c>
      <c r="X269" s="50">
        <f>AL269</f>
        <v>0</v>
      </c>
      <c r="Y269" s="120"/>
      <c r="Z269" s="96">
        <f>SUM(T269:X269)</f>
        <v>0</v>
      </c>
      <c r="AA269" s="97">
        <f>IF(C269=2011, Z269/3,Z269)+Y269</f>
        <v>0</v>
      </c>
      <c r="AB269" s="22"/>
      <c r="AC269" s="237"/>
      <c r="AD269" s="237"/>
      <c r="AE269" s="237">
        <f>0</f>
        <v>0</v>
      </c>
      <c r="AF269" s="237"/>
      <c r="AG269" s="237"/>
      <c r="AH269" s="237"/>
      <c r="AI269" s="240"/>
      <c r="AJ269" s="95"/>
      <c r="AK269" s="96">
        <f>SUM(AC269:AI269)</f>
        <v>0</v>
      </c>
      <c r="AL269" s="97">
        <f>IF(C269=2015, AK269/3,AK269)+AJ269</f>
        <v>0</v>
      </c>
    </row>
    <row r="270" spans="1:38" x14ac:dyDescent="0.25">
      <c r="A270" s="11" t="s">
        <v>860</v>
      </c>
      <c r="B270" s="60" t="s">
        <v>633</v>
      </c>
      <c r="C270" s="62">
        <v>2011</v>
      </c>
      <c r="D270" s="1">
        <f>R270+F270+E270</f>
        <v>4</v>
      </c>
      <c r="E270" s="156"/>
      <c r="F270" s="156"/>
      <c r="G270" s="154"/>
      <c r="H270" s="156"/>
      <c r="I270" s="205"/>
      <c r="J270" s="196"/>
      <c r="K270" s="186"/>
      <c r="L270" s="170"/>
      <c r="M270" s="50">
        <f>4</f>
        <v>4</v>
      </c>
      <c r="N270" s="50"/>
      <c r="O270" s="219">
        <f>AA270</f>
        <v>0</v>
      </c>
      <c r="P270" s="120"/>
      <c r="Q270" s="96">
        <f>I270+J270+K270+L270+M270+N270+O270</f>
        <v>4</v>
      </c>
      <c r="R270" s="97">
        <f>IF(C270=2012, Q270/3,Q270)+P270</f>
        <v>4</v>
      </c>
      <c r="S270" s="22"/>
      <c r="T270" s="50"/>
      <c r="U270" s="50"/>
      <c r="V270" s="50"/>
      <c r="W270" s="50"/>
      <c r="X270" s="50"/>
      <c r="Y270" s="120"/>
      <c r="Z270" s="96">
        <f>SUM(T270:X270)</f>
        <v>0</v>
      </c>
      <c r="AA270" s="97">
        <f>IF(C270=2011, Z270/3,Z270)+Y270</f>
        <v>0</v>
      </c>
      <c r="AB270" s="22"/>
      <c r="AC270" s="41"/>
      <c r="AD270" s="41"/>
      <c r="AE270" s="41"/>
      <c r="AF270" s="41"/>
      <c r="AG270" s="41"/>
      <c r="AH270" s="41"/>
      <c r="AJ270" s="95"/>
      <c r="AK270" s="96"/>
      <c r="AL270" s="97"/>
    </row>
    <row r="271" spans="1:38" x14ac:dyDescent="0.25">
      <c r="A271" s="51" t="s">
        <v>21</v>
      </c>
      <c r="B271" s="84" t="s">
        <v>7</v>
      </c>
      <c r="C271" s="52">
        <v>2009</v>
      </c>
      <c r="D271" s="1">
        <f>R271+F271+E271</f>
        <v>65.666666666666671</v>
      </c>
      <c r="E271" s="156"/>
      <c r="F271" s="156"/>
      <c r="G271" s="154"/>
      <c r="H271" s="156"/>
      <c r="I271" s="205"/>
      <c r="J271" s="196"/>
      <c r="K271" s="186"/>
      <c r="L271" s="170"/>
      <c r="M271" s="50"/>
      <c r="N271" s="50"/>
      <c r="O271" s="219">
        <f>AA271</f>
        <v>65.666666666666671</v>
      </c>
      <c r="P271" s="120"/>
      <c r="Q271" s="96">
        <f>I271+J271+K271+L271+M271+N271+O271</f>
        <v>65.666666666666671</v>
      </c>
      <c r="R271" s="97">
        <f>IF(C271=2012, Q271/3,Q271)+P271</f>
        <v>65.666666666666671</v>
      </c>
      <c r="S271" s="22"/>
      <c r="T271" s="50"/>
      <c r="U271" s="50"/>
      <c r="V271" s="50"/>
      <c r="W271" s="50"/>
      <c r="X271" s="50">
        <f>AL271</f>
        <v>65.666666666666671</v>
      </c>
      <c r="Y271" s="120"/>
      <c r="Z271" s="96">
        <f>SUM(T271:X271)</f>
        <v>65.666666666666671</v>
      </c>
      <c r="AA271" s="97">
        <f>IF(C271=2011, Z271/3,Z271)+Y271</f>
        <v>65.666666666666671</v>
      </c>
      <c r="AB271" s="22"/>
      <c r="AC271" s="237">
        <f>0</f>
        <v>0</v>
      </c>
      <c r="AD271" s="237"/>
      <c r="AE271" s="237"/>
      <c r="AF271" s="237">
        <f>0</f>
        <v>0</v>
      </c>
      <c r="AG271" s="237"/>
      <c r="AH271" s="237"/>
      <c r="AI271" s="237">
        <v>65.666666666666671</v>
      </c>
      <c r="AJ271" s="95"/>
      <c r="AK271" s="96">
        <f>SUM(AC271:AI271)</f>
        <v>65.666666666666671</v>
      </c>
      <c r="AL271" s="97">
        <f>IF(C271=2010, AK271/3,AK271)+AJ271</f>
        <v>65.666666666666671</v>
      </c>
    </row>
    <row r="272" spans="1:38" x14ac:dyDescent="0.25">
      <c r="A272" s="60" t="s">
        <v>749</v>
      </c>
      <c r="B272" s="65" t="s">
        <v>63</v>
      </c>
      <c r="C272" s="62">
        <v>2010</v>
      </c>
      <c r="D272" s="1">
        <f>R272+F272+E272</f>
        <v>48</v>
      </c>
      <c r="E272" s="156"/>
      <c r="F272" s="156"/>
      <c r="G272" s="154"/>
      <c r="H272" s="156"/>
      <c r="I272" s="205">
        <f>2</f>
        <v>2</v>
      </c>
      <c r="J272" s="196">
        <f>2+4</f>
        <v>6</v>
      </c>
      <c r="K272" s="186"/>
      <c r="L272" s="170">
        <f>5+1</f>
        <v>6</v>
      </c>
      <c r="M272" s="50">
        <f>15+6</f>
        <v>21</v>
      </c>
      <c r="N272" s="50">
        <f>0+5</f>
        <v>5</v>
      </c>
      <c r="O272" s="219">
        <f>AA272</f>
        <v>8</v>
      </c>
      <c r="P272" s="120"/>
      <c r="Q272" s="96">
        <f>I272+J272+K272+L272+M272+N272+O272</f>
        <v>48</v>
      </c>
      <c r="R272" s="97">
        <f>IF(C272=2012, Q272/3,Q272)+P272</f>
        <v>48</v>
      </c>
      <c r="S272" s="22"/>
      <c r="T272" s="50">
        <f>5+3</f>
        <v>8</v>
      </c>
      <c r="U272" s="50"/>
      <c r="V272" s="50"/>
      <c r="W272" s="50"/>
      <c r="X272" s="50"/>
      <c r="Y272" s="120"/>
      <c r="Z272" s="96">
        <f>SUM(T272:X272)</f>
        <v>8</v>
      </c>
      <c r="AA272" s="97">
        <f>IF(C272=2011, Z272/3,Z272)+Y272</f>
        <v>8</v>
      </c>
      <c r="AB272" s="22"/>
      <c r="AJ272" s="95"/>
      <c r="AK272" s="96"/>
      <c r="AL272" s="97"/>
    </row>
    <row r="273" spans="1:57" x14ac:dyDescent="0.25">
      <c r="A273" s="71" t="s">
        <v>560</v>
      </c>
      <c r="B273" s="71" t="s">
        <v>64</v>
      </c>
      <c r="C273" s="72">
        <v>2011</v>
      </c>
      <c r="D273" s="1">
        <f>R273+F273+E273</f>
        <v>6</v>
      </c>
      <c r="E273" s="156"/>
      <c r="F273" s="156"/>
      <c r="G273" s="154"/>
      <c r="H273" s="156"/>
      <c r="I273" s="205"/>
      <c r="J273" s="196"/>
      <c r="K273" s="186"/>
      <c r="L273" s="170">
        <f>0+3+3</f>
        <v>6</v>
      </c>
      <c r="M273" s="50"/>
      <c r="N273" s="50">
        <f>0</f>
        <v>0</v>
      </c>
      <c r="O273" s="219">
        <f>AA273</f>
        <v>0</v>
      </c>
      <c r="P273" s="120"/>
      <c r="Q273" s="96">
        <f>I273+J273+K273+L273+M273+N273+O273</f>
        <v>6</v>
      </c>
      <c r="R273" s="97">
        <f>IF(C273=2012, Q273/3,Q273)+P273</f>
        <v>6</v>
      </c>
      <c r="S273" s="237"/>
      <c r="T273" s="50"/>
      <c r="U273" s="50">
        <f>0</f>
        <v>0</v>
      </c>
      <c r="V273" s="50"/>
      <c r="W273" s="50">
        <f>0</f>
        <v>0</v>
      </c>
      <c r="X273" s="50"/>
      <c r="Y273" s="120"/>
      <c r="Z273" s="96">
        <f>SUM(T273:X273)</f>
        <v>0</v>
      </c>
      <c r="AA273" s="97">
        <f>IF(C273=2011, Z273/3,Z273)+Y273</f>
        <v>0</v>
      </c>
      <c r="AB273" s="22"/>
      <c r="AC273" s="237"/>
      <c r="AD273" s="237"/>
      <c r="AE273" s="237"/>
      <c r="AF273" s="237"/>
      <c r="AG273" s="237"/>
      <c r="AH273" s="237"/>
      <c r="AI273" s="240"/>
      <c r="AJ273" s="95"/>
      <c r="AK273" s="96"/>
      <c r="AL273" s="97"/>
    </row>
    <row r="274" spans="1:57" x14ac:dyDescent="0.25">
      <c r="A274" s="71" t="s">
        <v>731</v>
      </c>
      <c r="B274" s="71" t="s">
        <v>0</v>
      </c>
      <c r="C274" s="72">
        <v>2012</v>
      </c>
      <c r="D274" s="1">
        <f>R274+F274+E274</f>
        <v>55</v>
      </c>
      <c r="E274" s="156"/>
      <c r="F274" s="156"/>
      <c r="G274" s="154"/>
      <c r="H274" s="156"/>
      <c r="I274" s="205"/>
      <c r="J274" s="196">
        <f>50</f>
        <v>50</v>
      </c>
      <c r="K274" s="186"/>
      <c r="L274" s="170">
        <f>23+10+9</f>
        <v>42</v>
      </c>
      <c r="M274" s="50">
        <f>26+8+9</f>
        <v>43</v>
      </c>
      <c r="N274" s="50">
        <f>23+1+6</f>
        <v>30</v>
      </c>
      <c r="O274" s="219">
        <f>AA274</f>
        <v>0</v>
      </c>
      <c r="P274" s="154"/>
      <c r="Q274" s="96">
        <f>I274+J274+K274+L274+M274+N274+O274</f>
        <v>165</v>
      </c>
      <c r="R274" s="97">
        <f>IF(C274=2012, Q274/3,Q274)+P274</f>
        <v>55</v>
      </c>
      <c r="S274" s="222"/>
      <c r="T274" s="222"/>
      <c r="U274" s="50"/>
      <c r="V274" s="50"/>
      <c r="W274" s="50"/>
      <c r="X274" s="50"/>
      <c r="Y274" s="120"/>
      <c r="Z274" s="96">
        <f>SUM(T274:X274)</f>
        <v>0</v>
      </c>
      <c r="AA274" s="97">
        <f>IF(C274=2011, Z274/3,Z274)+Y274</f>
        <v>0</v>
      </c>
      <c r="AB274" s="22"/>
      <c r="AC274" s="205"/>
      <c r="AD274" s="205"/>
      <c r="AE274" s="205"/>
      <c r="AF274" s="205"/>
      <c r="AG274" s="205"/>
      <c r="AH274" s="205"/>
      <c r="AI274" s="36"/>
      <c r="AJ274" s="95"/>
      <c r="AK274" s="96">
        <f>SUM(AC274:AI274)</f>
        <v>0</v>
      </c>
      <c r="AL274" s="97">
        <f>IF(C274=2015, AK274/3,AK274)+AJ274</f>
        <v>0</v>
      </c>
    </row>
    <row r="275" spans="1:57" ht="16.5" customHeight="1" x14ac:dyDescent="0.25">
      <c r="A275" s="53" t="s">
        <v>437</v>
      </c>
      <c r="B275" s="86" t="s">
        <v>111</v>
      </c>
      <c r="C275" s="52">
        <v>2009</v>
      </c>
      <c r="D275" s="1">
        <f>R275+F275+E275</f>
        <v>81</v>
      </c>
      <c r="E275" s="156"/>
      <c r="F275" s="156"/>
      <c r="G275" s="154"/>
      <c r="H275" s="156"/>
      <c r="I275" s="205"/>
      <c r="J275" s="196"/>
      <c r="K275" s="186"/>
      <c r="L275" s="170"/>
      <c r="M275" s="50"/>
      <c r="N275" s="50"/>
      <c r="O275" s="219">
        <f>AA275</f>
        <v>81</v>
      </c>
      <c r="P275" s="120"/>
      <c r="Q275" s="96">
        <f>I275+J275+K275+L275+M275+N275+O275</f>
        <v>81</v>
      </c>
      <c r="R275" s="97">
        <f>IF(C275=2012, Q275/3,Q275)+P275</f>
        <v>81</v>
      </c>
      <c r="S275" s="22"/>
      <c r="T275" s="50"/>
      <c r="U275" s="50"/>
      <c r="V275" s="50">
        <f>22+13</f>
        <v>35</v>
      </c>
      <c r="W275" s="50">
        <f>21</f>
        <v>21</v>
      </c>
      <c r="X275" s="50">
        <f>AL275</f>
        <v>25</v>
      </c>
      <c r="Y275" s="120"/>
      <c r="Z275" s="96">
        <f>SUM(T275:X275)</f>
        <v>81</v>
      </c>
      <c r="AA275" s="97">
        <f>IF(C275=2011, Z275/3,Z275)+Y275</f>
        <v>81</v>
      </c>
      <c r="AB275" s="22"/>
      <c r="AC275" s="41"/>
      <c r="AD275" s="41"/>
      <c r="AE275" s="41"/>
      <c r="AF275" s="41"/>
      <c r="AG275" s="41">
        <f>10</f>
        <v>10</v>
      </c>
      <c r="AH275" s="41">
        <f>15</f>
        <v>15</v>
      </c>
      <c r="AI275" s="41"/>
      <c r="AJ275" s="95"/>
      <c r="AK275" s="96">
        <f>SUM(AC275:AI275)</f>
        <v>25</v>
      </c>
      <c r="AL275" s="97">
        <f>IF(C275=2010, AK275/3,AK275)+AJ275</f>
        <v>25</v>
      </c>
    </row>
    <row r="276" spans="1:57" ht="16.5" customHeight="1" x14ac:dyDescent="0.25">
      <c r="A276" s="60" t="s">
        <v>910</v>
      </c>
      <c r="B276" s="65" t="s">
        <v>64</v>
      </c>
      <c r="C276" s="62">
        <v>2009</v>
      </c>
      <c r="D276" s="1">
        <f>R276+F276+E276</f>
        <v>13</v>
      </c>
      <c r="G276" s="237"/>
      <c r="I276" s="205"/>
      <c r="J276" s="196"/>
      <c r="K276" s="186"/>
      <c r="L276" s="170">
        <f>10+3</f>
        <v>13</v>
      </c>
      <c r="M276" s="50"/>
      <c r="N276" s="50"/>
      <c r="O276" s="219">
        <f>AA276</f>
        <v>0</v>
      </c>
      <c r="P276" s="120"/>
      <c r="Q276" s="96">
        <f>I276+J276+K276+L276+M276+N276+O276</f>
        <v>13</v>
      </c>
      <c r="R276" s="97">
        <f>IF(C276=2012, Q276/3,Q276)+P276</f>
        <v>13</v>
      </c>
      <c r="S276" s="22"/>
      <c r="T276" s="50"/>
      <c r="U276" s="50"/>
      <c r="V276" s="50"/>
      <c r="W276" s="50"/>
      <c r="X276" s="50"/>
      <c r="Y276" s="120"/>
      <c r="Z276" s="96">
        <f>SUM(T276:X276)</f>
        <v>0</v>
      </c>
      <c r="AA276" s="97">
        <f>IF(C276=2011, Z276/3,Z276)+Y276</f>
        <v>0</v>
      </c>
      <c r="AB276" s="22"/>
      <c r="AJ276" s="95"/>
      <c r="AK276" s="96"/>
      <c r="AL276" s="97"/>
    </row>
    <row r="277" spans="1:57" x14ac:dyDescent="0.25">
      <c r="A277" s="71" t="s">
        <v>719</v>
      </c>
      <c r="B277" s="71" t="s">
        <v>0</v>
      </c>
      <c r="C277" s="72">
        <v>2012</v>
      </c>
      <c r="D277" s="1">
        <f>R277+F277+E277</f>
        <v>110</v>
      </c>
      <c r="E277" s="156">
        <f>18</f>
        <v>18</v>
      </c>
      <c r="F277" s="156"/>
      <c r="G277" s="154"/>
      <c r="H277" s="156"/>
      <c r="I277" s="205">
        <f>60</f>
        <v>60</v>
      </c>
      <c r="J277" s="196">
        <f>22</f>
        <v>22</v>
      </c>
      <c r="K277" s="186">
        <f>24+3</f>
        <v>27</v>
      </c>
      <c r="L277" s="170">
        <f>52+10+9</f>
        <v>71</v>
      </c>
      <c r="M277" s="170">
        <f>38+8+9</f>
        <v>55</v>
      </c>
      <c r="N277" s="170">
        <f>34+1+6</f>
        <v>41</v>
      </c>
      <c r="O277" s="219">
        <f>AA277</f>
        <v>0</v>
      </c>
      <c r="P277" s="154"/>
      <c r="Q277" s="96">
        <f>I277+J277+K277+L277+M277+N277+O277</f>
        <v>276</v>
      </c>
      <c r="R277" s="97">
        <f>IF(C277=2012, Q277/3,Q277)+P277</f>
        <v>92</v>
      </c>
      <c r="S277" s="238"/>
      <c r="T277" s="238"/>
      <c r="U277" s="170"/>
      <c r="V277" s="170"/>
      <c r="W277" s="170"/>
      <c r="X277" s="170"/>
      <c r="Y277" s="120"/>
      <c r="Z277" s="96">
        <f>SUM(T277:X277)</f>
        <v>0</v>
      </c>
      <c r="AA277" s="97">
        <f>IF(C277=2011, Z277/3,Z277)+Y277</f>
        <v>0</v>
      </c>
      <c r="AB277" s="22"/>
      <c r="AC277" s="219"/>
      <c r="AD277" s="219"/>
      <c r="AE277" s="219"/>
      <c r="AF277" s="219"/>
      <c r="AG277" s="219"/>
      <c r="AH277" s="219"/>
      <c r="AI277" s="36"/>
      <c r="AJ277" s="95"/>
      <c r="AK277" s="96">
        <f>SUM(AC277:AI277)</f>
        <v>0</v>
      </c>
      <c r="AL277" s="97">
        <f>IF(C277=2015, AK277/3,AK277)+AJ277</f>
        <v>0</v>
      </c>
    </row>
    <row r="278" spans="1:57" s="17" customFormat="1" x14ac:dyDescent="0.25">
      <c r="A278" s="71" t="s">
        <v>338</v>
      </c>
      <c r="B278" s="60" t="s">
        <v>7</v>
      </c>
      <c r="C278" s="72">
        <v>2011</v>
      </c>
      <c r="D278" s="1">
        <f>R278+F278+E278</f>
        <v>53.333333333333329</v>
      </c>
      <c r="E278" s="156">
        <f>4+6</f>
        <v>10</v>
      </c>
      <c r="F278" s="156">
        <f>9+6</f>
        <v>15</v>
      </c>
      <c r="G278" s="154"/>
      <c r="H278" s="156"/>
      <c r="I278" s="205"/>
      <c r="J278" s="196">
        <f>0</f>
        <v>0</v>
      </c>
      <c r="K278" s="186"/>
      <c r="L278" s="170"/>
      <c r="M278" s="50">
        <v>22</v>
      </c>
      <c r="N278" s="50"/>
      <c r="O278" s="219">
        <f>AA278</f>
        <v>6.333333333333333</v>
      </c>
      <c r="P278" s="120"/>
      <c r="Q278" s="96">
        <f>I278+J278+K278+L278+M278+N278+O278</f>
        <v>28.333333333333332</v>
      </c>
      <c r="R278" s="97">
        <f>IF(C278=2012, Q278/3,Q278)+P278</f>
        <v>28.333333333333332</v>
      </c>
      <c r="S278" s="237"/>
      <c r="T278" s="219"/>
      <c r="U278" s="50">
        <f>0</f>
        <v>0</v>
      </c>
      <c r="V278" s="50">
        <f>12</f>
        <v>12</v>
      </c>
      <c r="W278" s="50">
        <f>0+3+1</f>
        <v>4</v>
      </c>
      <c r="X278" s="50">
        <f>AL278</f>
        <v>3</v>
      </c>
      <c r="Y278" s="120"/>
      <c r="Z278" s="96">
        <f>SUM(T278:X278)</f>
        <v>19</v>
      </c>
      <c r="AA278" s="97">
        <f>IF(C278=2011, Z278/3,Z278)+Y278</f>
        <v>6.333333333333333</v>
      </c>
      <c r="AB278" s="22"/>
      <c r="AC278" s="237"/>
      <c r="AD278" s="237"/>
      <c r="AE278" s="237"/>
      <c r="AF278" s="237">
        <f>0+3</f>
        <v>3</v>
      </c>
      <c r="AG278" s="237"/>
      <c r="AH278" s="237"/>
      <c r="AI278" s="240"/>
      <c r="AJ278" s="95"/>
      <c r="AK278" s="96">
        <f>SUM(AC278:AI278)</f>
        <v>3</v>
      </c>
      <c r="AL278" s="97">
        <f>IF(C278=2015, AK278/3,AK278)+AJ278</f>
        <v>3</v>
      </c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</row>
    <row r="279" spans="1:57" s="17" customFormat="1" x14ac:dyDescent="0.25">
      <c r="A279" s="71" t="s">
        <v>854</v>
      </c>
      <c r="B279" s="71" t="s">
        <v>85</v>
      </c>
      <c r="C279" s="72">
        <v>2012</v>
      </c>
      <c r="D279" s="1">
        <f>R279+F279+E279</f>
        <v>13</v>
      </c>
      <c r="E279" s="233"/>
      <c r="F279" s="219"/>
      <c r="G279" s="154"/>
      <c r="H279" s="219"/>
      <c r="I279" s="205"/>
      <c r="J279" s="196"/>
      <c r="K279" s="186"/>
      <c r="L279" s="170"/>
      <c r="M279" s="50">
        <f>22+14+3</f>
        <v>39</v>
      </c>
      <c r="N279" s="50"/>
      <c r="O279" s="219">
        <f>AA279</f>
        <v>0</v>
      </c>
      <c r="P279" s="154"/>
      <c r="Q279" s="96">
        <f>I279+J279+K279+L279+M279+N279+O279</f>
        <v>39</v>
      </c>
      <c r="R279" s="97">
        <f>IF(C279=2012, Q279/3,Q279)+P279</f>
        <v>13</v>
      </c>
      <c r="S279" s="13"/>
      <c r="T279" s="13"/>
      <c r="U279" s="50"/>
      <c r="V279" s="50"/>
      <c r="W279" s="50"/>
      <c r="X279" s="50"/>
      <c r="Y279" s="120"/>
      <c r="Z279" s="96">
        <f>SUM(T279:X279)</f>
        <v>0</v>
      </c>
      <c r="AA279" s="97">
        <f>IF(C279=2011, Z279/3,Z279)+Y279</f>
        <v>0</v>
      </c>
      <c r="AB279" s="22"/>
      <c r="AC279" s="205"/>
      <c r="AD279" s="205"/>
      <c r="AE279" s="205"/>
      <c r="AF279" s="205"/>
      <c r="AG279" s="205"/>
      <c r="AH279" s="205"/>
      <c r="AI279" s="36"/>
      <c r="AJ279" s="95"/>
      <c r="AK279" s="96"/>
      <c r="AL279" s="97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</row>
    <row r="280" spans="1:57" x14ac:dyDescent="0.25">
      <c r="A280" s="11" t="s">
        <v>243</v>
      </c>
      <c r="B280" s="11" t="s">
        <v>242</v>
      </c>
      <c r="C280" s="3">
        <v>2010</v>
      </c>
      <c r="D280" s="1">
        <f>R280+F280+E280</f>
        <v>30.666666666666668</v>
      </c>
      <c r="G280" s="154"/>
      <c r="I280" s="205"/>
      <c r="J280" s="196"/>
      <c r="K280" s="186"/>
      <c r="L280" s="170"/>
      <c r="M280" s="50"/>
      <c r="N280" s="50"/>
      <c r="O280" s="219">
        <f>AA280</f>
        <v>30.666666666666668</v>
      </c>
      <c r="P280" s="120"/>
      <c r="Q280" s="96">
        <f>I280+J280+K280+L280+M280+N280+O280</f>
        <v>30.666666666666668</v>
      </c>
      <c r="R280" s="97">
        <f>IF(C280=2012, Q280/3,Q280)+P280</f>
        <v>30.666666666666668</v>
      </c>
      <c r="S280" s="22"/>
      <c r="T280" s="219"/>
      <c r="U280" s="50"/>
      <c r="V280" s="50"/>
      <c r="W280" s="50"/>
      <c r="X280" s="50">
        <f>AL280</f>
        <v>30.666666666666668</v>
      </c>
      <c r="Y280" s="120"/>
      <c r="Z280" s="96">
        <f>SUM(T280:X280)</f>
        <v>30.666666666666668</v>
      </c>
      <c r="AA280" s="97">
        <f>IF(C280=2011, Z280/3,Z280)+Y280</f>
        <v>30.666666666666668</v>
      </c>
      <c r="AB280" s="22"/>
      <c r="AC280" s="237"/>
      <c r="AD280" s="237"/>
      <c r="AE280" s="237">
        <f>36</f>
        <v>36</v>
      </c>
      <c r="AF280" s="237"/>
      <c r="AG280" s="237"/>
      <c r="AH280" s="237"/>
      <c r="AI280" s="240">
        <f>56</f>
        <v>56</v>
      </c>
      <c r="AJ280" s="95"/>
      <c r="AK280" s="96">
        <f>SUM(AC280:AI280)</f>
        <v>92</v>
      </c>
      <c r="AL280" s="97">
        <f>IF(C280=2010, AK280/3,AK280)+AJ280</f>
        <v>30.666666666666668</v>
      </c>
    </row>
    <row r="281" spans="1:57" x14ac:dyDescent="0.25">
      <c r="A281" s="11" t="s">
        <v>94</v>
      </c>
      <c r="B281" s="60" t="s">
        <v>64</v>
      </c>
      <c r="C281" s="62">
        <v>2011</v>
      </c>
      <c r="D281" s="1">
        <f>R281+F281+E281</f>
        <v>162.66666666666666</v>
      </c>
      <c r="G281" s="154"/>
      <c r="I281" s="205"/>
      <c r="J281" s="196">
        <f>18+12</f>
        <v>30</v>
      </c>
      <c r="K281" s="186"/>
      <c r="L281" s="170"/>
      <c r="M281" s="50">
        <f>33+9+18</f>
        <v>60</v>
      </c>
      <c r="N281" s="50">
        <f>9+6+6</f>
        <v>21</v>
      </c>
      <c r="O281" s="219">
        <f>AA281</f>
        <v>51.666666666666664</v>
      </c>
      <c r="P281" s="120"/>
      <c r="Q281" s="96">
        <f>I281+J281+K281+L281+M281+N281+O281</f>
        <v>162.66666666666666</v>
      </c>
      <c r="R281" s="97">
        <f>IF(C281=2012, Q281/3,Q281)+P281</f>
        <v>162.66666666666666</v>
      </c>
      <c r="S281" s="219"/>
      <c r="T281" s="219"/>
      <c r="U281" s="50"/>
      <c r="V281" s="50">
        <f>50</f>
        <v>50</v>
      </c>
      <c r="W281" s="50">
        <f>0</f>
        <v>0</v>
      </c>
      <c r="X281" s="50">
        <f>AL281</f>
        <v>96</v>
      </c>
      <c r="Y281" s="120">
        <f>3</f>
        <v>3</v>
      </c>
      <c r="Z281" s="96">
        <f>SUM(T281:X281)</f>
        <v>146</v>
      </c>
      <c r="AA281" s="97">
        <f>IF(C281=2011, Z281/3,Z281)+Y281</f>
        <v>51.666666666666664</v>
      </c>
      <c r="AB281" s="22"/>
      <c r="AC281" s="205"/>
      <c r="AD281" s="205">
        <v>36</v>
      </c>
      <c r="AE281" s="205">
        <f>60</f>
        <v>60</v>
      </c>
      <c r="AF281" s="205"/>
      <c r="AG281" s="205"/>
      <c r="AH281" s="205"/>
      <c r="AI281" s="36"/>
      <c r="AJ281" s="95"/>
      <c r="AK281" s="96">
        <f>SUM(AC281:AI281)</f>
        <v>96</v>
      </c>
      <c r="AL281" s="97">
        <f>IF(C281=2015, AK281/3,AK281)+AJ281</f>
        <v>96</v>
      </c>
    </row>
    <row r="282" spans="1:57" x14ac:dyDescent="0.25">
      <c r="A282" s="53" t="s">
        <v>53</v>
      </c>
      <c r="B282" s="84" t="s">
        <v>23</v>
      </c>
      <c r="C282" s="54">
        <v>2009</v>
      </c>
      <c r="D282" s="1">
        <f>R282+F282+E282</f>
        <v>177</v>
      </c>
      <c r="E282" s="108"/>
      <c r="F282" s="108"/>
      <c r="G282" s="122"/>
      <c r="H282" s="108"/>
      <c r="I282" s="205"/>
      <c r="J282" s="196">
        <f>12+3</f>
        <v>15</v>
      </c>
      <c r="K282" s="186"/>
      <c r="L282" s="170"/>
      <c r="M282" s="50"/>
      <c r="N282" s="50"/>
      <c r="O282" s="219">
        <f>AA282</f>
        <v>162</v>
      </c>
      <c r="P282" s="120"/>
      <c r="Q282" s="96">
        <f>I282+J282+K282+L282+M282+N282+O282</f>
        <v>177</v>
      </c>
      <c r="R282" s="97">
        <f>IF(C282=2012, Q282/3,Q282)+P282</f>
        <v>177</v>
      </c>
      <c r="S282" s="22"/>
      <c r="T282" s="50"/>
      <c r="U282" s="50"/>
      <c r="V282" s="50">
        <f>141</f>
        <v>141</v>
      </c>
      <c r="W282" s="50"/>
      <c r="X282" s="50">
        <f>AL282</f>
        <v>21</v>
      </c>
      <c r="Y282" s="120"/>
      <c r="Z282" s="96">
        <f>SUM(T282:X282)</f>
        <v>162</v>
      </c>
      <c r="AA282" s="97">
        <f>IF(C282=2011, Z282/3,Z282)+Y282</f>
        <v>162</v>
      </c>
      <c r="AB282" s="22"/>
      <c r="AC282" s="41">
        <f>18+3</f>
        <v>21</v>
      </c>
      <c r="AD282" s="41"/>
      <c r="AE282" s="41"/>
      <c r="AF282" s="41"/>
      <c r="AG282" s="41"/>
      <c r="AH282" s="41"/>
      <c r="AI282" s="41"/>
      <c r="AJ282" s="95"/>
      <c r="AK282" s="96">
        <f>SUM(AC282:AI282)</f>
        <v>21</v>
      </c>
      <c r="AL282" s="97">
        <f>IF(C282=2010, AK282/3,AK282)+AJ282</f>
        <v>21</v>
      </c>
    </row>
    <row r="283" spans="1:57" x14ac:dyDescent="0.25">
      <c r="A283" s="53" t="s">
        <v>742</v>
      </c>
      <c r="B283" s="84" t="s">
        <v>63</v>
      </c>
      <c r="C283" s="54">
        <v>2010</v>
      </c>
      <c r="D283" s="1">
        <f>R283+F283+E283</f>
        <v>181</v>
      </c>
      <c r="E283" s="237"/>
      <c r="F283" s="237"/>
      <c r="G283" s="154"/>
      <c r="H283" s="237"/>
      <c r="I283" s="205">
        <f>18+8</f>
        <v>26</v>
      </c>
      <c r="J283" s="196">
        <f>18+6</f>
        <v>24</v>
      </c>
      <c r="K283" s="186">
        <f>18+3+8</f>
        <v>29</v>
      </c>
      <c r="L283" s="170">
        <f>32+3+6+6</f>
        <v>47</v>
      </c>
      <c r="M283" s="50">
        <f>0+8+3+6</f>
        <v>17</v>
      </c>
      <c r="N283" s="50">
        <f>0+4+9</f>
        <v>13</v>
      </c>
      <c r="O283" s="219">
        <f>AA283</f>
        <v>25</v>
      </c>
      <c r="P283" s="120"/>
      <c r="Q283" s="96">
        <f>I283+J283+K283+L283+M283+N283+O283</f>
        <v>181</v>
      </c>
      <c r="R283" s="97">
        <f>IF(C283=2012, Q283/3,Q283)+P283</f>
        <v>181</v>
      </c>
      <c r="S283" s="22"/>
      <c r="T283" s="50">
        <f>15+10</f>
        <v>25</v>
      </c>
      <c r="U283" s="50"/>
      <c r="V283" s="50"/>
      <c r="W283" s="50"/>
      <c r="X283" s="50"/>
      <c r="Y283" s="120"/>
      <c r="Z283" s="96">
        <f>SUM(T283:X283)</f>
        <v>25</v>
      </c>
      <c r="AA283" s="97">
        <f>IF(C283=2011, Z283/3,Z283)+Y283</f>
        <v>25</v>
      </c>
      <c r="AB283" s="22"/>
      <c r="AC283" s="41"/>
      <c r="AD283" s="41"/>
      <c r="AE283" s="41"/>
      <c r="AF283" s="41"/>
      <c r="AG283" s="41"/>
      <c r="AH283" s="41"/>
      <c r="AI283" s="41"/>
      <c r="AJ283" s="95"/>
      <c r="AK283" s="96"/>
      <c r="AL283" s="97"/>
    </row>
    <row r="284" spans="1:57" x14ac:dyDescent="0.25">
      <c r="A284" s="53" t="s">
        <v>650</v>
      </c>
      <c r="B284" s="84" t="s">
        <v>7</v>
      </c>
      <c r="C284" s="54"/>
      <c r="D284" s="1">
        <f>R284+F284+E284</f>
        <v>10</v>
      </c>
      <c r="G284" s="154"/>
      <c r="I284" s="205"/>
      <c r="J284" s="196"/>
      <c r="K284" s="186"/>
      <c r="L284" s="170"/>
      <c r="M284" s="50"/>
      <c r="N284" s="50"/>
      <c r="O284" s="219">
        <f>AA284</f>
        <v>10</v>
      </c>
      <c r="P284" s="120"/>
      <c r="Q284" s="96">
        <f>I284+J284+K284+L284+M284+N284+O284</f>
        <v>10</v>
      </c>
      <c r="R284" s="97">
        <f>IF(C284=2012, Q284/3,Q284)+P284</f>
        <v>10</v>
      </c>
      <c r="S284" s="22"/>
      <c r="T284" s="50"/>
      <c r="U284" s="50"/>
      <c r="V284" s="50">
        <f>10</f>
        <v>10</v>
      </c>
      <c r="W284" s="50"/>
      <c r="X284" s="50"/>
      <c r="Y284" s="120"/>
      <c r="Z284" s="96">
        <f>SUM(T284:X284)</f>
        <v>10</v>
      </c>
      <c r="AA284" s="97">
        <f>IF(C284=2011, Z284/3,Z284)+Y284</f>
        <v>10</v>
      </c>
      <c r="AB284" s="22"/>
      <c r="AC284" s="41"/>
      <c r="AD284" s="41"/>
      <c r="AE284" s="41"/>
      <c r="AF284" s="41"/>
      <c r="AG284" s="41"/>
      <c r="AH284" s="41"/>
      <c r="AI284" s="41"/>
      <c r="AJ284" s="95"/>
      <c r="AK284" s="96"/>
      <c r="AL284" s="97"/>
    </row>
    <row r="285" spans="1:57" x14ac:dyDescent="0.25">
      <c r="A285" s="53" t="s">
        <v>657</v>
      </c>
      <c r="B285" s="84" t="s">
        <v>64</v>
      </c>
      <c r="C285" s="54"/>
      <c r="D285" s="1">
        <f>R285+F285+E285</f>
        <v>12</v>
      </c>
      <c r="E285" s="108"/>
      <c r="F285" s="108"/>
      <c r="G285" s="122"/>
      <c r="H285" s="108"/>
      <c r="I285" s="205"/>
      <c r="J285" s="196"/>
      <c r="K285" s="186"/>
      <c r="L285" s="170"/>
      <c r="M285" s="50"/>
      <c r="N285" s="50"/>
      <c r="O285" s="219">
        <f>AA285</f>
        <v>12</v>
      </c>
      <c r="P285" s="120"/>
      <c r="Q285" s="96">
        <f>I285+J285+K285+L285+M285+N285+O285</f>
        <v>12</v>
      </c>
      <c r="R285" s="97">
        <f>IF(C285=2012, Q285/3,Q285)+P285</f>
        <v>12</v>
      </c>
      <c r="S285" s="22"/>
      <c r="T285" s="50"/>
      <c r="U285" s="50"/>
      <c r="V285" s="50">
        <f>12</f>
        <v>12</v>
      </c>
      <c r="W285" s="50"/>
      <c r="X285" s="50"/>
      <c r="Y285" s="120"/>
      <c r="Z285" s="96">
        <f>SUM(T285:X285)</f>
        <v>12</v>
      </c>
      <c r="AA285" s="97">
        <f>IF(C285=2011, Z285/3,Z285)+Y285</f>
        <v>12</v>
      </c>
      <c r="AB285" s="22"/>
      <c r="AC285" s="41"/>
      <c r="AD285" s="41"/>
      <c r="AE285" s="41"/>
      <c r="AF285" s="41"/>
      <c r="AG285" s="41"/>
      <c r="AH285" s="41"/>
      <c r="AI285" s="41"/>
      <c r="AJ285" s="95"/>
      <c r="AK285" s="96"/>
      <c r="AL285" s="97"/>
    </row>
    <row r="286" spans="1:57" x14ac:dyDescent="0.25">
      <c r="A286" s="53" t="s">
        <v>703</v>
      </c>
      <c r="B286" s="84" t="s">
        <v>63</v>
      </c>
      <c r="C286" s="54">
        <v>2010</v>
      </c>
      <c r="D286" s="1">
        <f>R286+F286+E286</f>
        <v>6</v>
      </c>
      <c r="E286" s="237"/>
      <c r="F286" s="237"/>
      <c r="G286" s="154"/>
      <c r="H286" s="237"/>
      <c r="I286" s="205"/>
      <c r="J286" s="196"/>
      <c r="K286" s="186"/>
      <c r="L286" s="170"/>
      <c r="M286" s="50"/>
      <c r="N286" s="50"/>
      <c r="O286" s="219">
        <f>AA286</f>
        <v>6</v>
      </c>
      <c r="P286" s="120"/>
      <c r="Q286" s="96">
        <f>I286+J286+K286+L286+M286+N286+O286</f>
        <v>6</v>
      </c>
      <c r="R286" s="97">
        <f>IF(C286=2012, Q286/3,Q286)+P286</f>
        <v>6</v>
      </c>
      <c r="S286" s="22"/>
      <c r="T286" s="50"/>
      <c r="U286" s="50">
        <f>0+6</f>
        <v>6</v>
      </c>
      <c r="V286" s="50"/>
      <c r="W286" s="50"/>
      <c r="X286" s="50"/>
      <c r="Y286" s="120"/>
      <c r="Z286" s="96">
        <f>SUM(T286:X286)</f>
        <v>6</v>
      </c>
      <c r="AA286" s="97">
        <f>IF(C286=2011, Z286/3,Z286)+Y286</f>
        <v>6</v>
      </c>
      <c r="AB286" s="22"/>
      <c r="AC286" s="41"/>
      <c r="AD286" s="41"/>
      <c r="AE286" s="41"/>
      <c r="AF286" s="41"/>
      <c r="AG286" s="41"/>
      <c r="AH286" s="41"/>
      <c r="AI286" s="41"/>
      <c r="AJ286" s="95"/>
      <c r="AK286" s="96"/>
      <c r="AL286" s="97"/>
    </row>
    <row r="287" spans="1:57" x14ac:dyDescent="0.25">
      <c r="A287" s="60" t="s">
        <v>167</v>
      </c>
      <c r="B287" s="65" t="s">
        <v>87</v>
      </c>
      <c r="C287" s="62">
        <v>2009</v>
      </c>
      <c r="D287" s="1">
        <f>R287+F287+E287</f>
        <v>26</v>
      </c>
      <c r="G287" s="154"/>
      <c r="I287" s="205"/>
      <c r="J287" s="196"/>
      <c r="K287" s="186"/>
      <c r="L287" s="170"/>
      <c r="M287" s="50"/>
      <c r="N287" s="50"/>
      <c r="O287" s="219">
        <f>AA287</f>
        <v>26</v>
      </c>
      <c r="P287" s="120"/>
      <c r="Q287" s="96">
        <f>I287+J287+K287+L287+M287+N287+O287</f>
        <v>26</v>
      </c>
      <c r="R287" s="97">
        <f>IF(C287=2012, Q287/3,Q287)+P287</f>
        <v>26</v>
      </c>
      <c r="S287" s="22"/>
      <c r="T287" s="50"/>
      <c r="U287" s="50"/>
      <c r="V287" s="50"/>
      <c r="W287" s="50"/>
      <c r="X287" s="50">
        <f>AL287</f>
        <v>26</v>
      </c>
      <c r="Y287" s="120"/>
      <c r="Z287" s="96">
        <f>SUM(T287:X287)</f>
        <v>26</v>
      </c>
      <c r="AA287" s="97">
        <f>IF(C287=2011, Z287/3,Z287)+Y287</f>
        <v>26</v>
      </c>
      <c r="AB287" s="22"/>
      <c r="AD287" s="13">
        <f>9+17</f>
        <v>26</v>
      </c>
      <c r="AJ287" s="95"/>
      <c r="AK287" s="96">
        <f>SUM(AC287:AI287)</f>
        <v>26</v>
      </c>
      <c r="AL287" s="97">
        <f>IF(C287=2010, AK287/3,AK287)+AJ287</f>
        <v>26</v>
      </c>
    </row>
    <row r="288" spans="1:57" x14ac:dyDescent="0.25">
      <c r="A288" s="11" t="s">
        <v>561</v>
      </c>
      <c r="B288" s="60" t="s">
        <v>551</v>
      </c>
      <c r="C288" s="62">
        <v>2012</v>
      </c>
      <c r="D288" s="1">
        <f>R288+F288+E288</f>
        <v>11</v>
      </c>
      <c r="E288" s="237"/>
      <c r="F288" s="237"/>
      <c r="G288" s="237"/>
      <c r="H288" s="237"/>
      <c r="I288" s="205"/>
      <c r="J288" s="196"/>
      <c r="K288" s="186"/>
      <c r="L288" s="170"/>
      <c r="M288" s="50">
        <f>4+6</f>
        <v>10</v>
      </c>
      <c r="N288" s="50"/>
      <c r="O288" s="219">
        <f>AA288</f>
        <v>23</v>
      </c>
      <c r="P288" s="154"/>
      <c r="Q288" s="96">
        <f>I288+J288+K288+L288+M288+N288+O288</f>
        <v>33</v>
      </c>
      <c r="R288" s="97">
        <f>IF(C288=2012, Q288/3,Q288)+P288</f>
        <v>11</v>
      </c>
      <c r="S288" s="238"/>
      <c r="T288" s="238"/>
      <c r="U288" s="50">
        <f>20</f>
        <v>20</v>
      </c>
      <c r="V288" s="50"/>
      <c r="W288" s="50">
        <f>0+3</f>
        <v>3</v>
      </c>
      <c r="X288" s="50"/>
      <c r="Y288" s="120"/>
      <c r="Z288" s="96">
        <f>SUM(T288:X288)</f>
        <v>23</v>
      </c>
      <c r="AA288" s="97">
        <f>IF(C288=2011, Z288/3,Z288)+Y288</f>
        <v>23</v>
      </c>
      <c r="AB288" s="22"/>
      <c r="AC288" s="237"/>
      <c r="AD288" s="237"/>
      <c r="AE288" s="237"/>
      <c r="AF288" s="237"/>
      <c r="AG288" s="237"/>
      <c r="AH288" s="237"/>
      <c r="AI288" s="240"/>
      <c r="AJ288" s="95"/>
      <c r="AK288" s="96">
        <f>SUM(AC288:AI288)</f>
        <v>0</v>
      </c>
      <c r="AL288" s="97">
        <f>IF(C288=2015, AK288/3,AK288)+AJ288</f>
        <v>0</v>
      </c>
    </row>
    <row r="289" spans="1:57" x14ac:dyDescent="0.25">
      <c r="A289" s="11" t="s">
        <v>330</v>
      </c>
      <c r="B289" s="60" t="s">
        <v>7</v>
      </c>
      <c r="C289" s="62">
        <v>2011</v>
      </c>
      <c r="D289" s="1">
        <f>R289+F289+E289</f>
        <v>16</v>
      </c>
      <c r="G289" s="154"/>
      <c r="I289" s="205"/>
      <c r="J289" s="196"/>
      <c r="K289" s="186"/>
      <c r="L289" s="170"/>
      <c r="M289" s="50"/>
      <c r="N289" s="50"/>
      <c r="O289" s="219">
        <f>AA289</f>
        <v>16</v>
      </c>
      <c r="P289" s="120"/>
      <c r="Q289" s="96">
        <f>I289+J289+K289+L289+M289+N289+O289</f>
        <v>16</v>
      </c>
      <c r="R289" s="97">
        <f>IF(C289=2012, Q289/3,Q289)+P289</f>
        <v>16</v>
      </c>
      <c r="S289" s="237"/>
      <c r="T289" s="237"/>
      <c r="U289" s="50"/>
      <c r="V289" s="50"/>
      <c r="W289" s="50"/>
      <c r="X289" s="50">
        <f>AL289</f>
        <v>48</v>
      </c>
      <c r="Y289" s="120"/>
      <c r="Z289" s="96">
        <f>SUM(T289:X289)</f>
        <v>48</v>
      </c>
      <c r="AA289" s="97">
        <f>IF(C289=2011, Z289/3,Z289)+Y289</f>
        <v>16</v>
      </c>
      <c r="AB289" s="22"/>
      <c r="AC289" s="219"/>
      <c r="AD289" s="219"/>
      <c r="AE289" s="219"/>
      <c r="AF289" s="219">
        <f>48</f>
        <v>48</v>
      </c>
      <c r="AG289" s="219"/>
      <c r="AH289" s="219"/>
      <c r="AI289" s="36"/>
      <c r="AJ289" s="95"/>
      <c r="AK289" s="96">
        <f>SUM(AC289:AI289)</f>
        <v>48</v>
      </c>
      <c r="AL289" s="97">
        <f>IF(C289=2015, AK289/3,AK289)+AJ289</f>
        <v>48</v>
      </c>
    </row>
    <row r="290" spans="1:57" x14ac:dyDescent="0.25">
      <c r="A290" s="53" t="s">
        <v>680</v>
      </c>
      <c r="B290" s="84" t="s">
        <v>602</v>
      </c>
      <c r="C290" s="54" t="s">
        <v>675</v>
      </c>
      <c r="D290" s="1">
        <f>R290+F290+E290</f>
        <v>21</v>
      </c>
      <c r="E290" s="237"/>
      <c r="F290" s="237"/>
      <c r="G290" s="154"/>
      <c r="H290" s="237"/>
      <c r="I290" s="205"/>
      <c r="J290" s="196"/>
      <c r="K290" s="186"/>
      <c r="L290" s="170"/>
      <c r="M290" s="50"/>
      <c r="N290" s="50"/>
      <c r="O290" s="219">
        <f>AA290</f>
        <v>21</v>
      </c>
      <c r="P290" s="120"/>
      <c r="Q290" s="96">
        <f>I290+J290+K290+L290+M290+N290+O290</f>
        <v>21</v>
      </c>
      <c r="R290" s="97">
        <f>IF(C290=2012, Q290/3,Q290)+P290</f>
        <v>21</v>
      </c>
      <c r="S290" s="22"/>
      <c r="T290" s="50"/>
      <c r="U290" s="50"/>
      <c r="V290" s="50">
        <f>21</f>
        <v>21</v>
      </c>
      <c r="W290" s="50"/>
      <c r="X290" s="50"/>
      <c r="Y290" s="120"/>
      <c r="Z290" s="96">
        <f>SUM(T290:X290)</f>
        <v>21</v>
      </c>
      <c r="AA290" s="97">
        <f>IF(C290=2011, Z290/3,Z290)+Y290</f>
        <v>21</v>
      </c>
      <c r="AB290" s="22"/>
      <c r="AC290" s="41"/>
      <c r="AD290" s="41"/>
      <c r="AE290" s="41"/>
      <c r="AF290" s="41"/>
      <c r="AG290" s="41"/>
      <c r="AH290" s="41"/>
      <c r="AI290" s="41"/>
      <c r="AJ290" s="95"/>
      <c r="AK290" s="96"/>
      <c r="AL290" s="97"/>
    </row>
    <row r="291" spans="1:57" x14ac:dyDescent="0.25">
      <c r="A291" s="11" t="s">
        <v>325</v>
      </c>
      <c r="B291" s="60" t="s">
        <v>86</v>
      </c>
      <c r="C291" s="62">
        <v>2010</v>
      </c>
      <c r="D291" s="1">
        <f>R291+F291+E291</f>
        <v>0</v>
      </c>
      <c r="E291" s="237"/>
      <c r="F291" s="237"/>
      <c r="G291" s="154"/>
      <c r="H291" s="237"/>
      <c r="I291" s="205"/>
      <c r="J291" s="196"/>
      <c r="K291" s="186"/>
      <c r="L291" s="170"/>
      <c r="M291" s="50"/>
      <c r="N291" s="50"/>
      <c r="O291" s="219">
        <f>AA291</f>
        <v>0</v>
      </c>
      <c r="P291" s="120"/>
      <c r="Q291" s="96">
        <f>I291+J291+K291+L291+M291+N291+O291</f>
        <v>0</v>
      </c>
      <c r="R291" s="97">
        <f>IF(C291=2012, Q291/3,Q291)+P291</f>
        <v>0</v>
      </c>
      <c r="S291" s="22"/>
      <c r="T291" s="237"/>
      <c r="U291" s="50"/>
      <c r="V291" s="50"/>
      <c r="W291" s="50"/>
      <c r="X291" s="50">
        <f>AL291</f>
        <v>0</v>
      </c>
      <c r="Y291" s="120"/>
      <c r="Z291" s="96">
        <f>SUM(T291:X291)</f>
        <v>0</v>
      </c>
      <c r="AA291" s="97">
        <f>IF(C291=2011, Z291/3,Z291)+Y291</f>
        <v>0</v>
      </c>
      <c r="AB291" s="22"/>
      <c r="AC291" s="219"/>
      <c r="AD291" s="219"/>
      <c r="AE291" s="219"/>
      <c r="AF291" s="219">
        <f>0</f>
        <v>0</v>
      </c>
      <c r="AG291" s="219"/>
      <c r="AH291" s="219"/>
      <c r="AI291" s="36"/>
      <c r="AJ291" s="95"/>
      <c r="AK291" s="96">
        <f>SUM(AC291:AI291)</f>
        <v>0</v>
      </c>
      <c r="AL291" s="97">
        <f>IF(C291=2010, AK291/3,AK291)+AJ291</f>
        <v>0</v>
      </c>
    </row>
    <row r="292" spans="1:57" x14ac:dyDescent="0.25">
      <c r="A292" s="53" t="s">
        <v>348</v>
      </c>
      <c r="B292" s="86" t="s">
        <v>111</v>
      </c>
      <c r="C292" s="52">
        <v>2009</v>
      </c>
      <c r="D292" s="1">
        <f>R292+F292+E292</f>
        <v>25</v>
      </c>
      <c r="G292" s="154"/>
      <c r="I292" s="205"/>
      <c r="J292" s="196"/>
      <c r="K292" s="186"/>
      <c r="L292" s="170"/>
      <c r="M292" s="50"/>
      <c r="N292" s="50"/>
      <c r="O292" s="219">
        <f>AA292</f>
        <v>25</v>
      </c>
      <c r="P292" s="120"/>
      <c r="Q292" s="96">
        <f>I292+J292+K292+L292+M292+N292+O292</f>
        <v>25</v>
      </c>
      <c r="R292" s="97">
        <f>IF(C292=2012, Q292/3,Q292)+P292</f>
        <v>25</v>
      </c>
      <c r="S292" s="22"/>
      <c r="T292" s="237"/>
      <c r="U292" s="50"/>
      <c r="V292" s="50"/>
      <c r="W292" s="50"/>
      <c r="X292" s="50">
        <f>AL292</f>
        <v>25</v>
      </c>
      <c r="Y292" s="120"/>
      <c r="Z292" s="96">
        <f>SUM(T292:X292)</f>
        <v>25</v>
      </c>
      <c r="AA292" s="97">
        <f>IF(C292=2011, Z292/3,Z292)+Y292</f>
        <v>25</v>
      </c>
      <c r="AB292" s="22"/>
      <c r="AC292" s="41"/>
      <c r="AD292" s="41"/>
      <c r="AE292" s="41"/>
      <c r="AF292" s="41">
        <f>10</f>
        <v>10</v>
      </c>
      <c r="AG292" s="41"/>
      <c r="AH292" s="41"/>
      <c r="AI292" s="41">
        <f>15</f>
        <v>15</v>
      </c>
      <c r="AJ292" s="95"/>
      <c r="AK292" s="96">
        <f>SUM(AC292:AI292)</f>
        <v>25</v>
      </c>
      <c r="AL292" s="97">
        <f>IF(C292=2010, AK292/3,AK292)+AJ292</f>
        <v>25</v>
      </c>
    </row>
    <row r="293" spans="1:57" x14ac:dyDescent="0.25">
      <c r="A293" s="11" t="s">
        <v>88</v>
      </c>
      <c r="B293" s="60" t="s">
        <v>64</v>
      </c>
      <c r="C293" s="62">
        <v>2011</v>
      </c>
      <c r="D293" s="1">
        <f>R293+F293+E293</f>
        <v>195.33333333333334</v>
      </c>
      <c r="G293" s="154"/>
      <c r="I293" s="205"/>
      <c r="J293" s="196"/>
      <c r="K293" s="186"/>
      <c r="L293" s="170"/>
      <c r="M293" s="50">
        <f>33+3</f>
        <v>36</v>
      </c>
      <c r="N293" s="50">
        <f>18</f>
        <v>18</v>
      </c>
      <c r="O293" s="219">
        <f>AA293</f>
        <v>135.33333333333334</v>
      </c>
      <c r="P293" s="120">
        <f>6</f>
        <v>6</v>
      </c>
      <c r="Q293" s="96">
        <f>I293+J293+K293+L293+M293+N293+O293</f>
        <v>189.33333333333334</v>
      </c>
      <c r="R293" s="97">
        <f>IF(C293=2012, Q293/3,Q293)+P293</f>
        <v>195.33333333333334</v>
      </c>
      <c r="S293" s="237"/>
      <c r="T293" s="50"/>
      <c r="U293" s="50">
        <f>60+51</f>
        <v>111</v>
      </c>
      <c r="V293" s="50">
        <f>75+57</f>
        <v>132</v>
      </c>
      <c r="W293" s="50">
        <f>48</f>
        <v>48</v>
      </c>
      <c r="X293" s="50">
        <f>AL293</f>
        <v>97</v>
      </c>
      <c r="Y293" s="120">
        <f>6</f>
        <v>6</v>
      </c>
      <c r="Z293" s="96">
        <f>SUM(T293:X293)</f>
        <v>388</v>
      </c>
      <c r="AA293" s="97">
        <f>IF(C293=2011, Z293/3,Z293)+Y293</f>
        <v>135.33333333333334</v>
      </c>
      <c r="AB293" s="22"/>
      <c r="AC293" s="237"/>
      <c r="AD293" s="237">
        <v>54</v>
      </c>
      <c r="AE293" s="237"/>
      <c r="AF293" s="237"/>
      <c r="AG293" s="237"/>
      <c r="AH293" s="237"/>
      <c r="AI293" s="240">
        <f>43</f>
        <v>43</v>
      </c>
      <c r="AJ293" s="95"/>
      <c r="AK293" s="96">
        <f>SUM(AC293:AI293)</f>
        <v>97</v>
      </c>
      <c r="AL293" s="97">
        <f>IF(C293=2015, AK293/3,AK293)+AJ293</f>
        <v>97</v>
      </c>
    </row>
    <row r="294" spans="1:57" x14ac:dyDescent="0.25">
      <c r="A294" s="11" t="s">
        <v>140</v>
      </c>
      <c r="B294" s="60" t="s">
        <v>111</v>
      </c>
      <c r="C294" s="62">
        <v>2010</v>
      </c>
      <c r="D294" s="1">
        <f>R294+F294+E294</f>
        <v>114.66666666666666</v>
      </c>
      <c r="G294" s="154"/>
      <c r="I294" s="205"/>
      <c r="J294" s="196"/>
      <c r="K294" s="186"/>
      <c r="L294" s="170"/>
      <c r="M294" s="170"/>
      <c r="N294" s="170"/>
      <c r="O294" s="219">
        <f>AA294</f>
        <v>114.66666666666666</v>
      </c>
      <c r="P294" s="120"/>
      <c r="Q294" s="96">
        <f>I294+J294+K294+L294+M294+N294+O294</f>
        <v>114.66666666666666</v>
      </c>
      <c r="R294" s="97">
        <f>IF(C294=2012, Q294/3,Q294)+P294</f>
        <v>114.66666666666666</v>
      </c>
      <c r="S294" s="22"/>
      <c r="T294" s="170"/>
      <c r="U294" s="170">
        <f>10</f>
        <v>10</v>
      </c>
      <c r="V294" s="170">
        <f>22+8</f>
        <v>30</v>
      </c>
      <c r="W294" s="170">
        <f>16+6</f>
        <v>22</v>
      </c>
      <c r="X294" s="170">
        <f>AL294</f>
        <v>52.666666666666664</v>
      </c>
      <c r="Y294" s="120"/>
      <c r="Z294" s="96">
        <f>SUM(T294:X294)</f>
        <v>114.66666666666666</v>
      </c>
      <c r="AA294" s="97">
        <f>IF(C294=2011, Z294/3,Z294)+Y294</f>
        <v>114.66666666666666</v>
      </c>
      <c r="AB294" s="22"/>
      <c r="AC294" s="41"/>
      <c r="AD294" s="41">
        <f>8+4</f>
        <v>12</v>
      </c>
      <c r="AE294" s="41"/>
      <c r="AF294" s="41">
        <f>26</f>
        <v>26</v>
      </c>
      <c r="AG294" s="41">
        <f>44</f>
        <v>44</v>
      </c>
      <c r="AH294" s="41">
        <f>49</f>
        <v>49</v>
      </c>
      <c r="AJ294" s="95">
        <f>6+3</f>
        <v>9</v>
      </c>
      <c r="AK294" s="96">
        <f>SUM(AC294:AI294)</f>
        <v>131</v>
      </c>
      <c r="AL294" s="97">
        <f>IF(C294=2010, AK294/3,AK294)+AJ294</f>
        <v>52.666666666666664</v>
      </c>
    </row>
    <row r="295" spans="1:57" x14ac:dyDescent="0.25">
      <c r="A295" s="11" t="s">
        <v>556</v>
      </c>
      <c r="B295" s="60" t="s">
        <v>64</v>
      </c>
      <c r="C295" s="62">
        <v>2011</v>
      </c>
      <c r="D295" s="1">
        <f>R295+F295+E295</f>
        <v>12</v>
      </c>
      <c r="G295" s="154"/>
      <c r="I295" s="205"/>
      <c r="J295" s="196"/>
      <c r="K295" s="186"/>
      <c r="L295" s="170"/>
      <c r="M295" s="50"/>
      <c r="N295" s="50"/>
      <c r="O295" s="219">
        <f>AA295</f>
        <v>12</v>
      </c>
      <c r="P295" s="120"/>
      <c r="Q295" s="96">
        <f>I295+J295+K295+L295+M295+N295+O295</f>
        <v>12</v>
      </c>
      <c r="R295" s="97">
        <f>IF(C295=2012, Q295/3,Q295)+P295</f>
        <v>12</v>
      </c>
      <c r="S295" s="237"/>
      <c r="T295" s="219"/>
      <c r="U295" s="50"/>
      <c r="V295" s="50"/>
      <c r="W295" s="50">
        <f>27</f>
        <v>27</v>
      </c>
      <c r="X295" s="50"/>
      <c r="Y295" s="120">
        <f>3</f>
        <v>3</v>
      </c>
      <c r="Z295" s="96">
        <f>SUM(T295:X295)</f>
        <v>27</v>
      </c>
      <c r="AA295" s="97">
        <f>IF(C295=2011, Z295/3,Z295)+Y295</f>
        <v>12</v>
      </c>
      <c r="AB295" s="22"/>
      <c r="AC295" s="205"/>
      <c r="AD295" s="205"/>
      <c r="AE295" s="205"/>
      <c r="AF295" s="205"/>
      <c r="AG295" s="205"/>
      <c r="AH295" s="205"/>
      <c r="AI295" s="36"/>
      <c r="AJ295" s="95"/>
      <c r="AK295" s="96"/>
      <c r="AL295" s="97"/>
    </row>
    <row r="296" spans="1:57" x14ac:dyDescent="0.25">
      <c r="A296" s="11" t="s">
        <v>137</v>
      </c>
      <c r="B296" s="60" t="s">
        <v>232</v>
      </c>
      <c r="C296" s="62">
        <v>2011</v>
      </c>
      <c r="D296" s="1">
        <f>R296+F296+E296</f>
        <v>207.33333333333331</v>
      </c>
      <c r="E296" s="108">
        <f>4</f>
        <v>4</v>
      </c>
      <c r="F296" s="108"/>
      <c r="G296" s="101"/>
      <c r="H296" s="108"/>
      <c r="I296" s="205"/>
      <c r="J296" s="196"/>
      <c r="K296" s="186">
        <f>22+6</f>
        <v>28</v>
      </c>
      <c r="L296" s="170">
        <f>36+6</f>
        <v>42</v>
      </c>
      <c r="M296" s="50">
        <f>0+6</f>
        <v>6</v>
      </c>
      <c r="N296" s="50">
        <f>24+6</f>
        <v>30</v>
      </c>
      <c r="O296" s="219">
        <f>AA296</f>
        <v>97.333333333333329</v>
      </c>
      <c r="P296" s="120"/>
      <c r="Q296" s="96">
        <f>I296+J296+K296+L296+M296+N296+O296</f>
        <v>203.33333333333331</v>
      </c>
      <c r="R296" s="97">
        <f>IF(C296=2012, Q296/3,Q296)+P296</f>
        <v>203.33333333333331</v>
      </c>
      <c r="S296" s="237"/>
      <c r="T296" s="219">
        <f>6+6</f>
        <v>12</v>
      </c>
      <c r="U296" s="50">
        <f>24+39</f>
        <v>63</v>
      </c>
      <c r="V296" s="50">
        <f>37+3</f>
        <v>40</v>
      </c>
      <c r="W296" s="50">
        <f>27+21</f>
        <v>48</v>
      </c>
      <c r="X296" s="50">
        <f>AL296</f>
        <v>129</v>
      </c>
      <c r="Y296" s="120"/>
      <c r="Z296" s="96">
        <f>SUM(T296:X296)</f>
        <v>292</v>
      </c>
      <c r="AA296" s="97">
        <f>IF(C296=2011, Z296/3,Z296)+Y296</f>
        <v>97.333333333333329</v>
      </c>
      <c r="AB296" s="22"/>
      <c r="AC296" s="41"/>
      <c r="AD296" s="41">
        <v>8</v>
      </c>
      <c r="AE296" s="41"/>
      <c r="AF296" s="41">
        <f>18+5</f>
        <v>23</v>
      </c>
      <c r="AG296" s="41">
        <f>36+15</f>
        <v>51</v>
      </c>
      <c r="AH296" s="41">
        <f>32+15</f>
        <v>47</v>
      </c>
      <c r="AJ296" s="95"/>
      <c r="AK296" s="96">
        <f>SUM(AC296:AI296)</f>
        <v>129</v>
      </c>
      <c r="AL296" s="97">
        <f>IF(C296=2015, AK296/3,AK296)+AJ296</f>
        <v>129</v>
      </c>
    </row>
    <row r="297" spans="1:57" x14ac:dyDescent="0.25">
      <c r="A297" s="60" t="s">
        <v>179</v>
      </c>
      <c r="B297" s="85" t="s">
        <v>64</v>
      </c>
      <c r="C297" s="62">
        <v>2009</v>
      </c>
      <c r="D297" s="1">
        <f>R297+F297+E297</f>
        <v>185</v>
      </c>
      <c r="E297" s="108"/>
      <c r="F297" s="108"/>
      <c r="G297" s="101"/>
      <c r="H297" s="108"/>
      <c r="I297" s="205"/>
      <c r="J297" s="196"/>
      <c r="K297" s="186"/>
      <c r="L297" s="170"/>
      <c r="M297" s="170"/>
      <c r="N297" s="170"/>
      <c r="O297" s="219">
        <f>AA297</f>
        <v>185</v>
      </c>
      <c r="P297" s="120"/>
      <c r="Q297" s="96">
        <f>I297+J297+K297+L297+M297+N297+O297</f>
        <v>185</v>
      </c>
      <c r="R297" s="97">
        <f>IF(C297=2012, Q297/3,Q297)+P297</f>
        <v>185</v>
      </c>
      <c r="S297" s="22"/>
      <c r="T297" s="170"/>
      <c r="U297" s="170"/>
      <c r="V297" s="170"/>
      <c r="W297" s="170"/>
      <c r="X297" s="170">
        <f>AL297</f>
        <v>185</v>
      </c>
      <c r="Y297" s="120"/>
      <c r="Z297" s="96">
        <f>SUM(T297:X297)</f>
        <v>185</v>
      </c>
      <c r="AA297" s="97">
        <f>IF(C297=2011, Z297/3,Z297)+Y297</f>
        <v>185</v>
      </c>
      <c r="AB297" s="22"/>
      <c r="AD297" s="13">
        <v>15</v>
      </c>
      <c r="AI297" s="13">
        <f>170</f>
        <v>170</v>
      </c>
      <c r="AJ297" s="95"/>
      <c r="AK297" s="96">
        <f>SUM(AC297:AI297)</f>
        <v>185</v>
      </c>
      <c r="AL297" s="97">
        <f>IF(C297=2010, AK297/3,AK297)+AJ297</f>
        <v>185</v>
      </c>
    </row>
    <row r="298" spans="1:57" x14ac:dyDescent="0.25">
      <c r="A298" s="71" t="s">
        <v>252</v>
      </c>
      <c r="B298" s="71" t="s">
        <v>232</v>
      </c>
      <c r="C298" s="72">
        <v>2011</v>
      </c>
      <c r="D298" s="1">
        <f>R298+F298+E298</f>
        <v>0</v>
      </c>
      <c r="G298" s="154"/>
      <c r="I298" s="205"/>
      <c r="J298" s="196"/>
      <c r="K298" s="186"/>
      <c r="L298" s="170"/>
      <c r="M298" s="50"/>
      <c r="N298" s="50"/>
      <c r="O298" s="219">
        <f>AA298</f>
        <v>0</v>
      </c>
      <c r="P298" s="120"/>
      <c r="Q298" s="96">
        <f>I298+J298+K298+L298+M298+N298+O298</f>
        <v>0</v>
      </c>
      <c r="R298" s="97">
        <f>IF(C298=2012, Q298/3,Q298)+P298</f>
        <v>0</v>
      </c>
      <c r="S298" s="237"/>
      <c r="T298" s="50"/>
      <c r="U298" s="50"/>
      <c r="V298" s="50"/>
      <c r="W298" s="50"/>
      <c r="X298" s="50">
        <f>AL298</f>
        <v>0</v>
      </c>
      <c r="Y298" s="120"/>
      <c r="Z298" s="96">
        <f>SUM(T298:X298)</f>
        <v>0</v>
      </c>
      <c r="AA298" s="97">
        <f>IF(C298=2011, Z298/3,Z298)+Y298</f>
        <v>0</v>
      </c>
      <c r="AB298" s="22"/>
      <c r="AC298" s="219"/>
      <c r="AD298" s="219"/>
      <c r="AE298" s="219">
        <f>0</f>
        <v>0</v>
      </c>
      <c r="AF298" s="219"/>
      <c r="AG298" s="219"/>
      <c r="AH298" s="219"/>
      <c r="AI298" s="36"/>
      <c r="AJ298" s="95"/>
      <c r="AK298" s="96">
        <f>SUM(AC298:AI298)</f>
        <v>0</v>
      </c>
      <c r="AL298" s="97">
        <f>IF(C298=2015, AK298/3,AK298)+AJ298</f>
        <v>0</v>
      </c>
    </row>
    <row r="299" spans="1:57" x14ac:dyDescent="0.25">
      <c r="A299" s="53" t="s">
        <v>912</v>
      </c>
      <c r="B299" s="84" t="s">
        <v>63</v>
      </c>
      <c r="C299" s="54">
        <v>2009</v>
      </c>
      <c r="D299" s="1">
        <f>R299+F299+E299</f>
        <v>10</v>
      </c>
      <c r="G299" s="237"/>
      <c r="I299" s="205"/>
      <c r="J299" s="196"/>
      <c r="K299" s="186"/>
      <c r="L299" s="170">
        <f>10</f>
        <v>10</v>
      </c>
      <c r="M299" s="50"/>
      <c r="N299" s="50"/>
      <c r="O299" s="219">
        <f>AA299</f>
        <v>0</v>
      </c>
      <c r="P299" s="120"/>
      <c r="Q299" s="96">
        <f>I299+J299+K299+L299+M299+N299+O299</f>
        <v>10</v>
      </c>
      <c r="R299" s="97">
        <f>IF(C299=2012, Q299/3,Q299)+P299</f>
        <v>10</v>
      </c>
      <c r="S299" s="22"/>
      <c r="T299" s="237"/>
      <c r="U299" s="50"/>
      <c r="V299" s="50"/>
      <c r="W299" s="50"/>
      <c r="X299" s="50"/>
      <c r="Y299" s="120"/>
      <c r="Z299" s="96">
        <f>SUM(T299:X299)</f>
        <v>0</v>
      </c>
      <c r="AA299" s="97">
        <f>IF(C299=2011, Z299/3,Z299)+Y299</f>
        <v>0</v>
      </c>
      <c r="AB299" s="22"/>
      <c r="AC299" s="41"/>
      <c r="AD299" s="41"/>
      <c r="AE299" s="41"/>
      <c r="AF299" s="41"/>
      <c r="AG299" s="41"/>
      <c r="AH299" s="41"/>
      <c r="AI299" s="41"/>
      <c r="AJ299" s="95"/>
      <c r="AK299" s="96"/>
      <c r="AL299" s="97"/>
    </row>
    <row r="300" spans="1:57" x14ac:dyDescent="0.25">
      <c r="A300" s="53" t="s">
        <v>913</v>
      </c>
      <c r="B300" s="84" t="s">
        <v>64</v>
      </c>
      <c r="C300" s="54"/>
      <c r="D300" s="1">
        <f>R300+F300+E300</f>
        <v>3</v>
      </c>
      <c r="G300" s="237"/>
      <c r="I300" s="205"/>
      <c r="J300" s="205"/>
      <c r="K300" s="205"/>
      <c r="L300" s="205">
        <f>0+3</f>
        <v>3</v>
      </c>
      <c r="M300" s="205"/>
      <c r="N300" s="205"/>
      <c r="O300" s="219">
        <f>AA300</f>
        <v>0</v>
      </c>
      <c r="P300" s="120"/>
      <c r="Q300" s="96">
        <f>I300+J300+K300+L300+M300+N300+O300</f>
        <v>3</v>
      </c>
      <c r="R300" s="97">
        <f>IF(C300=2012, Q300/3,Q300)+P300</f>
        <v>3</v>
      </c>
      <c r="S300" s="22"/>
      <c r="T300" s="205"/>
      <c r="U300" s="205"/>
      <c r="V300" s="205"/>
      <c r="W300" s="205"/>
      <c r="X300" s="205"/>
      <c r="Y300" s="120"/>
      <c r="Z300" s="96">
        <f>SUM(T300:X300)</f>
        <v>0</v>
      </c>
      <c r="AA300" s="97">
        <f>IF(C300=2011, Z300/3,Z300)+Y300</f>
        <v>0</v>
      </c>
      <c r="AB300" s="22"/>
      <c r="AC300" s="41"/>
      <c r="AD300" s="41"/>
      <c r="AE300" s="41"/>
      <c r="AF300" s="41"/>
      <c r="AG300" s="41"/>
      <c r="AH300" s="41"/>
      <c r="AI300" s="41"/>
      <c r="AJ300" s="95"/>
      <c r="AK300" s="96"/>
      <c r="AL300" s="97"/>
    </row>
    <row r="301" spans="1:57" x14ac:dyDescent="0.25">
      <c r="A301" s="71" t="s">
        <v>399</v>
      </c>
      <c r="B301" s="71" t="s">
        <v>111</v>
      </c>
      <c r="C301" s="72">
        <v>2011</v>
      </c>
      <c r="D301" s="1">
        <f>R301+F301+E301</f>
        <v>22.666666666666668</v>
      </c>
      <c r="G301" s="154"/>
      <c r="I301" s="205"/>
      <c r="J301" s="205"/>
      <c r="K301" s="205"/>
      <c r="L301" s="205"/>
      <c r="M301" s="205"/>
      <c r="N301" s="205"/>
      <c r="O301" s="219">
        <f>AA301</f>
        <v>22.666666666666668</v>
      </c>
      <c r="P301" s="120"/>
      <c r="Q301" s="96">
        <f>I301+J301+K301+L301+M301+N301+O301</f>
        <v>22.666666666666668</v>
      </c>
      <c r="R301" s="97">
        <f>IF(C301=2012, Q301/3,Q301)+P301</f>
        <v>22.666666666666668</v>
      </c>
      <c r="S301" s="237"/>
      <c r="T301" s="237"/>
      <c r="U301" s="205">
        <f>0</f>
        <v>0</v>
      </c>
      <c r="V301" s="205">
        <f>37+2</f>
        <v>39</v>
      </c>
      <c r="W301" s="205"/>
      <c r="X301" s="205">
        <f>AL301</f>
        <v>29</v>
      </c>
      <c r="Y301" s="120"/>
      <c r="Z301" s="96">
        <f>SUM(T301:X301)</f>
        <v>68</v>
      </c>
      <c r="AA301" s="97">
        <f>IF(C301=2011, Z301/3,Z301)+Y301</f>
        <v>22.666666666666668</v>
      </c>
      <c r="AB301" s="22"/>
      <c r="AC301" s="219"/>
      <c r="AD301" s="219"/>
      <c r="AE301" s="219"/>
      <c r="AF301" s="219"/>
      <c r="AG301" s="219">
        <f>29</f>
        <v>29</v>
      </c>
      <c r="AH301" s="219">
        <f>0</f>
        <v>0</v>
      </c>
      <c r="AI301" s="36"/>
      <c r="AJ301" s="95"/>
      <c r="AK301" s="96">
        <f>SUM(AC301:AI301)</f>
        <v>29</v>
      </c>
      <c r="AL301" s="97">
        <f>IF(C301=2015, AK301/3,AK301)+AJ301</f>
        <v>29</v>
      </c>
    </row>
    <row r="302" spans="1:57" x14ac:dyDescent="0.25">
      <c r="A302" s="11" t="s">
        <v>241</v>
      </c>
      <c r="B302" s="11" t="s">
        <v>242</v>
      </c>
      <c r="C302" s="3">
        <v>2010</v>
      </c>
      <c r="D302" s="1">
        <f>R302+F302+E302</f>
        <v>40.666666666666664</v>
      </c>
      <c r="E302" s="108"/>
      <c r="F302" s="108"/>
      <c r="G302" s="122"/>
      <c r="H302" s="108"/>
      <c r="I302" s="219"/>
      <c r="J302" s="219"/>
      <c r="K302" s="219"/>
      <c r="L302" s="219"/>
      <c r="M302" s="219"/>
      <c r="N302" s="219"/>
      <c r="O302" s="219">
        <f>AA302</f>
        <v>40.666666666666664</v>
      </c>
      <c r="P302" s="120"/>
      <c r="Q302" s="96">
        <f>I302+J302+K302+L302+M302+N302+O302</f>
        <v>40.666666666666664</v>
      </c>
      <c r="R302" s="97">
        <f>IF(C302=2012, Q302/3,Q302)+P302</f>
        <v>40.666666666666664</v>
      </c>
      <c r="S302" s="22"/>
      <c r="T302" s="219"/>
      <c r="U302" s="219"/>
      <c r="V302" s="219"/>
      <c r="W302" s="219"/>
      <c r="X302" s="219">
        <f>AL302</f>
        <v>40.666666666666664</v>
      </c>
      <c r="Y302" s="120"/>
      <c r="Z302" s="96">
        <f>SUM(T302:X302)</f>
        <v>40.666666666666664</v>
      </c>
      <c r="AA302" s="97">
        <f>IF(C302=2011, Z302/3,Z302)+Y302</f>
        <v>40.666666666666664</v>
      </c>
      <c r="AB302" s="22"/>
      <c r="AC302" s="219"/>
      <c r="AD302" s="219"/>
      <c r="AE302" s="219">
        <f>48</f>
        <v>48</v>
      </c>
      <c r="AF302" s="219"/>
      <c r="AG302" s="219"/>
      <c r="AH302" s="219"/>
      <c r="AI302" s="36">
        <f>74</f>
        <v>74</v>
      </c>
      <c r="AJ302" s="95"/>
      <c r="AK302" s="96">
        <f>SUM(AC302:AI302)</f>
        <v>122</v>
      </c>
      <c r="AL302" s="97">
        <f>IF(C302=2010, AK302/3,AK302)+AJ302</f>
        <v>40.666666666666664</v>
      </c>
    </row>
    <row r="303" spans="1:57" x14ac:dyDescent="0.25">
      <c r="A303" s="11" t="s">
        <v>316</v>
      </c>
      <c r="B303" s="60" t="s">
        <v>6</v>
      </c>
      <c r="C303" s="62">
        <v>2011</v>
      </c>
      <c r="D303" s="1">
        <f>R303+F303+E303</f>
        <v>63.333333333333336</v>
      </c>
      <c r="G303" s="154"/>
      <c r="I303" s="205"/>
      <c r="J303" s="196"/>
      <c r="K303" s="186"/>
      <c r="L303" s="170"/>
      <c r="M303" s="50"/>
      <c r="N303" s="50"/>
      <c r="O303" s="219">
        <f>AA303</f>
        <v>63.333333333333336</v>
      </c>
      <c r="P303" s="120"/>
      <c r="Q303" s="96">
        <f>I303+J303+K303+L303+M303+N303+O303</f>
        <v>63.333333333333336</v>
      </c>
      <c r="R303" s="97">
        <f>IF(C303=2012, Q303/3,Q303)+P303</f>
        <v>63.333333333333336</v>
      </c>
      <c r="S303" s="237"/>
      <c r="T303" s="205"/>
      <c r="U303" s="50"/>
      <c r="V303" s="50">
        <f>47</f>
        <v>47</v>
      </c>
      <c r="W303" s="50">
        <f>36+21</f>
        <v>57</v>
      </c>
      <c r="X303" s="50">
        <f>AL303</f>
        <v>86</v>
      </c>
      <c r="Y303" s="120"/>
      <c r="Z303" s="96">
        <f>SUM(T303:X303)</f>
        <v>190</v>
      </c>
      <c r="AA303" s="97">
        <f>IF(C303=2011, Z303/3,Z303)+Y303</f>
        <v>63.333333333333336</v>
      </c>
      <c r="AB303" s="22"/>
      <c r="AC303" s="41"/>
      <c r="AD303" s="41"/>
      <c r="AE303" s="41"/>
      <c r="AF303" s="41">
        <f>0</f>
        <v>0</v>
      </c>
      <c r="AG303" s="41">
        <f>29</f>
        <v>29</v>
      </c>
      <c r="AH303" s="41">
        <f>42+15</f>
        <v>57</v>
      </c>
      <c r="AJ303" s="95"/>
      <c r="AK303" s="96">
        <f>SUM(AC303:AI303)</f>
        <v>86</v>
      </c>
      <c r="AL303" s="97">
        <f>IF(C303=2015, AK303/3,AK303)+AJ303</f>
        <v>86</v>
      </c>
    </row>
    <row r="304" spans="1:57" s="17" customFormat="1" x14ac:dyDescent="0.25">
      <c r="A304" s="61" t="s">
        <v>581</v>
      </c>
      <c r="B304" s="85" t="s">
        <v>64</v>
      </c>
      <c r="C304" s="63">
        <v>2010</v>
      </c>
      <c r="D304" s="1">
        <f>R304+F304+E304</f>
        <v>126</v>
      </c>
      <c r="E304" s="108"/>
      <c r="F304" s="108"/>
      <c r="G304" s="122"/>
      <c r="H304" s="108"/>
      <c r="I304" s="205"/>
      <c r="J304" s="196">
        <f>6</f>
        <v>6</v>
      </c>
      <c r="K304" s="186"/>
      <c r="L304" s="170"/>
      <c r="M304" s="166">
        <f>0+18</f>
        <v>18</v>
      </c>
      <c r="N304" s="166">
        <f>0+6</f>
        <v>6</v>
      </c>
      <c r="O304" s="219">
        <f>AA304</f>
        <v>96</v>
      </c>
      <c r="P304" s="120"/>
      <c r="Q304" s="96">
        <f>I304+J304+K304+L304+M304+N304+O304</f>
        <v>126</v>
      </c>
      <c r="R304" s="97">
        <f>IF(C304=2012, Q304/3,Q304)+P304</f>
        <v>126</v>
      </c>
      <c r="S304" s="22"/>
      <c r="T304" s="219"/>
      <c r="U304" s="166">
        <f>3</f>
        <v>3</v>
      </c>
      <c r="V304" s="166">
        <f>90</f>
        <v>90</v>
      </c>
      <c r="W304" s="166">
        <f>0+3</f>
        <v>3</v>
      </c>
      <c r="X304" s="166"/>
      <c r="Y304" s="120"/>
      <c r="Z304" s="96">
        <f>SUM(T304:X304)</f>
        <v>96</v>
      </c>
      <c r="AA304" s="97">
        <f>IF(C304=2011, Z304/3,Z304)+Y304</f>
        <v>96</v>
      </c>
      <c r="AB304" s="22"/>
      <c r="AC304" s="13"/>
      <c r="AD304" s="13"/>
      <c r="AE304" s="13"/>
      <c r="AF304" s="13"/>
      <c r="AG304" s="13"/>
      <c r="AH304" s="13"/>
      <c r="AI304" s="13"/>
      <c r="AJ304" s="95"/>
      <c r="AK304" s="96"/>
      <c r="AL304" s="97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</row>
    <row r="305" spans="1:57" s="17" customFormat="1" x14ac:dyDescent="0.25">
      <c r="A305" s="71" t="s">
        <v>248</v>
      </c>
      <c r="B305" s="71" t="s">
        <v>232</v>
      </c>
      <c r="C305" s="72">
        <v>2012</v>
      </c>
      <c r="D305" s="1">
        <f>R305+F305+E305</f>
        <v>10.333333333333334</v>
      </c>
      <c r="E305" s="233"/>
      <c r="F305" s="219"/>
      <c r="G305" s="154"/>
      <c r="H305" s="219"/>
      <c r="I305" s="205"/>
      <c r="J305" s="205"/>
      <c r="K305" s="205"/>
      <c r="L305" s="205"/>
      <c r="M305" s="205"/>
      <c r="N305" s="205"/>
      <c r="O305" s="219">
        <f>AA305</f>
        <v>31</v>
      </c>
      <c r="P305" s="120"/>
      <c r="Q305" s="96">
        <f>I305+J305+K305+L305+M305+N305+O305</f>
        <v>31</v>
      </c>
      <c r="R305" s="97">
        <f>IF(C305=2012, Q305/3,Q305)+P305</f>
        <v>10.333333333333334</v>
      </c>
      <c r="S305" s="238"/>
      <c r="T305" s="238"/>
      <c r="U305" s="205"/>
      <c r="V305" s="205">
        <f>13</f>
        <v>13</v>
      </c>
      <c r="W305" s="205"/>
      <c r="X305" s="205">
        <f>AL305</f>
        <v>18</v>
      </c>
      <c r="Y305" s="120"/>
      <c r="Z305" s="96">
        <f>SUM(T305:X305)</f>
        <v>31</v>
      </c>
      <c r="AA305" s="97">
        <f>IF(C305=2011, Z305/3,Z305)+Y305</f>
        <v>31</v>
      </c>
      <c r="AB305" s="22"/>
      <c r="AC305" s="237"/>
      <c r="AD305" s="237"/>
      <c r="AE305" s="237">
        <f>18</f>
        <v>18</v>
      </c>
      <c r="AF305" s="237">
        <f>0</f>
        <v>0</v>
      </c>
      <c r="AG305" s="237"/>
      <c r="AH305" s="237"/>
      <c r="AI305" s="240"/>
      <c r="AJ305" s="95"/>
      <c r="AK305" s="96">
        <f>SUM(AC305:AI305)</f>
        <v>18</v>
      </c>
      <c r="AL305" s="97">
        <f>IF(C305=2015, AK305/3,AK305)+AJ305</f>
        <v>18</v>
      </c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</row>
    <row r="306" spans="1:57" x14ac:dyDescent="0.25">
      <c r="A306" s="71" t="s">
        <v>314</v>
      </c>
      <c r="B306" s="71" t="s">
        <v>232</v>
      </c>
      <c r="C306" s="72">
        <v>2010</v>
      </c>
      <c r="D306" s="1">
        <f>R306+F306+E306</f>
        <v>62</v>
      </c>
      <c r="E306" s="156"/>
      <c r="F306" s="156"/>
      <c r="G306" s="154"/>
      <c r="H306" s="156"/>
      <c r="I306" s="205"/>
      <c r="J306" s="205"/>
      <c r="K306" s="205"/>
      <c r="L306" s="205"/>
      <c r="M306" s="205"/>
      <c r="N306" s="205">
        <f>24</f>
        <v>24</v>
      </c>
      <c r="O306" s="219">
        <f>AA306</f>
        <v>38</v>
      </c>
      <c r="P306" s="120"/>
      <c r="Q306" s="96">
        <f>I306+J306+K306+L306+M306+N306+O306</f>
        <v>62</v>
      </c>
      <c r="R306" s="97">
        <f>IF(C306=2012, Q306/3,Q306)+P306</f>
        <v>62</v>
      </c>
      <c r="S306" s="22"/>
      <c r="T306" s="205">
        <f>8</f>
        <v>8</v>
      </c>
      <c r="U306" s="205">
        <f>10</f>
        <v>10</v>
      </c>
      <c r="V306" s="205">
        <f>20</f>
        <v>20</v>
      </c>
      <c r="W306" s="205"/>
      <c r="X306" s="205">
        <f>AL306</f>
        <v>0</v>
      </c>
      <c r="Y306" s="120"/>
      <c r="Z306" s="96">
        <f>SUM(T306:X306)</f>
        <v>38</v>
      </c>
      <c r="AA306" s="97">
        <f>IF(C306=2011, Z306/3,Z306)+Y306</f>
        <v>38</v>
      </c>
      <c r="AB306" s="22"/>
      <c r="AC306" s="219"/>
      <c r="AD306" s="219"/>
      <c r="AE306" s="219"/>
      <c r="AF306" s="219">
        <f>0</f>
        <v>0</v>
      </c>
      <c r="AG306" s="219"/>
      <c r="AH306" s="219">
        <f>0</f>
        <v>0</v>
      </c>
      <c r="AI306" s="36"/>
      <c r="AJ306" s="95"/>
      <c r="AK306" s="96">
        <f>SUM(AC306:AI306)</f>
        <v>0</v>
      </c>
      <c r="AL306" s="97">
        <f>IF(C306=2010, AK306/3,AK306)+AJ306</f>
        <v>0</v>
      </c>
    </row>
    <row r="307" spans="1:57" x14ac:dyDescent="0.25">
      <c r="A307" s="71" t="s">
        <v>1159</v>
      </c>
      <c r="B307" s="71" t="s">
        <v>0</v>
      </c>
      <c r="C307" s="72">
        <v>2012</v>
      </c>
      <c r="D307" s="1">
        <f>R307+F307+E307</f>
        <v>183</v>
      </c>
      <c r="E307" s="156">
        <f>16+2</f>
        <v>18</v>
      </c>
      <c r="F307" s="156"/>
      <c r="G307" s="154"/>
      <c r="H307" s="156"/>
      <c r="I307" s="219">
        <f>72</f>
        <v>72</v>
      </c>
      <c r="J307" s="219">
        <f>21</f>
        <v>21</v>
      </c>
      <c r="K307" s="219">
        <f>30+3</f>
        <v>33</v>
      </c>
      <c r="L307" s="219">
        <f>34+9</f>
        <v>43</v>
      </c>
      <c r="M307" s="219">
        <f>50+9</f>
        <v>59</v>
      </c>
      <c r="N307" s="219">
        <f>0+6</f>
        <v>6</v>
      </c>
      <c r="O307" s="219">
        <f>AA307</f>
        <v>261</v>
      </c>
      <c r="P307" s="120"/>
      <c r="Q307" s="96">
        <f>I307+J307+K307+L307+M307+N307+O307</f>
        <v>495</v>
      </c>
      <c r="R307" s="97">
        <f>IF(C307=2012, Q307/3,Q307)+P307</f>
        <v>165</v>
      </c>
      <c r="S307" s="222"/>
      <c r="T307" s="222"/>
      <c r="U307" s="50">
        <f>24+36</f>
        <v>60</v>
      </c>
      <c r="V307" s="50">
        <f>46+5</f>
        <v>51</v>
      </c>
      <c r="W307" s="50">
        <f>36+3</f>
        <v>39</v>
      </c>
      <c r="X307" s="50">
        <f>AL307</f>
        <v>111</v>
      </c>
      <c r="Y307" s="120"/>
      <c r="Z307" s="96">
        <f>SUM(T307:X307)</f>
        <v>261</v>
      </c>
      <c r="AA307" s="97">
        <f>IF(C307=2011, Z307/3,Z307)+Y307</f>
        <v>261</v>
      </c>
      <c r="AB307" s="22"/>
      <c r="AC307" s="219"/>
      <c r="AD307" s="219"/>
      <c r="AE307" s="219"/>
      <c r="AF307" s="219">
        <f>28</f>
        <v>28</v>
      </c>
      <c r="AG307" s="219"/>
      <c r="AH307" s="219">
        <f>32+48+3</f>
        <v>83</v>
      </c>
      <c r="AI307" s="36"/>
      <c r="AJ307" s="95"/>
      <c r="AK307" s="96">
        <f>SUM(AC307:AI307)</f>
        <v>111</v>
      </c>
      <c r="AL307" s="97">
        <f>IF(C307=2015, AK307/3,AK307)+AJ307</f>
        <v>111</v>
      </c>
    </row>
    <row r="308" spans="1:57" x14ac:dyDescent="0.25">
      <c r="A308" s="11" t="s">
        <v>781</v>
      </c>
      <c r="B308" s="60" t="s">
        <v>85</v>
      </c>
      <c r="C308" s="62">
        <v>2012</v>
      </c>
      <c r="D308" s="1">
        <f>R308+F308+E308</f>
        <v>9</v>
      </c>
      <c r="G308" s="154"/>
      <c r="I308" s="205"/>
      <c r="J308" s="205"/>
      <c r="K308" s="205"/>
      <c r="L308" s="205"/>
      <c r="M308" s="205">
        <f>15+9+3</f>
        <v>27</v>
      </c>
      <c r="N308" s="205">
        <f>0</f>
        <v>0</v>
      </c>
      <c r="O308" s="219">
        <f>AA308</f>
        <v>0</v>
      </c>
      <c r="P308" s="154"/>
      <c r="Q308" s="96">
        <f>I308+J308+K308+L308+M308+N308+O308</f>
        <v>27</v>
      </c>
      <c r="R308" s="97">
        <f>IF(C308=2012, Q308/3,Q308)+P308</f>
        <v>9</v>
      </c>
      <c r="S308" s="222"/>
      <c r="T308" s="222"/>
      <c r="U308" s="205"/>
      <c r="V308" s="205"/>
      <c r="W308" s="205"/>
      <c r="X308" s="205"/>
      <c r="Y308" s="120"/>
      <c r="Z308" s="96">
        <f>SUM(T308:X308)</f>
        <v>0</v>
      </c>
      <c r="AA308" s="97">
        <f>IF(C308=2011, Z308/3,Z308)+Y308</f>
        <v>0</v>
      </c>
      <c r="AB308" s="22"/>
      <c r="AC308" s="219"/>
      <c r="AD308" s="219"/>
      <c r="AE308" s="219"/>
      <c r="AF308" s="219"/>
      <c r="AG308" s="219"/>
      <c r="AH308" s="219"/>
      <c r="AI308" s="36"/>
      <c r="AJ308" s="95"/>
      <c r="AK308" s="96"/>
      <c r="AL308" s="97"/>
    </row>
    <row r="309" spans="1:57" x14ac:dyDescent="0.25">
      <c r="A309" s="61" t="s">
        <v>155</v>
      </c>
      <c r="B309" s="85" t="s">
        <v>64</v>
      </c>
      <c r="C309" s="63">
        <v>2009</v>
      </c>
      <c r="D309" s="1">
        <f>R309+F309+E309</f>
        <v>0</v>
      </c>
      <c r="G309" s="154"/>
      <c r="I309" s="205"/>
      <c r="J309" s="205"/>
      <c r="K309" s="205"/>
      <c r="L309" s="205"/>
      <c r="M309" s="205"/>
      <c r="N309" s="205"/>
      <c r="O309" s="219">
        <f>AA309</f>
        <v>0</v>
      </c>
      <c r="P309" s="120"/>
      <c r="Q309" s="96">
        <f>I309+J309+K309+L309+M309+N309+O309</f>
        <v>0</v>
      </c>
      <c r="R309" s="97">
        <f>IF(C309=2012, Q309/3,Q309)+P309</f>
        <v>0</v>
      </c>
      <c r="S309" s="22"/>
      <c r="T309" s="219"/>
      <c r="U309" s="205"/>
      <c r="V309" s="205"/>
      <c r="W309" s="205"/>
      <c r="X309" s="205">
        <f>AL309</f>
        <v>0</v>
      </c>
      <c r="Y309" s="120"/>
      <c r="Z309" s="96">
        <f>SUM(T309:X309)</f>
        <v>0</v>
      </c>
      <c r="AA309" s="97">
        <f>IF(C309=2011, Z309/3,Z309)+Y309</f>
        <v>0</v>
      </c>
      <c r="AB309" s="22"/>
      <c r="AD309" s="13">
        <v>0</v>
      </c>
      <c r="AJ309" s="95"/>
      <c r="AK309" s="96">
        <f>SUM(AC309:AI309)</f>
        <v>0</v>
      </c>
      <c r="AL309" s="97">
        <f>IF(C309=2010, AK309/3,AK309)+AJ309</f>
        <v>0</v>
      </c>
    </row>
    <row r="310" spans="1:57" x14ac:dyDescent="0.25">
      <c r="A310" s="61" t="s">
        <v>440</v>
      </c>
      <c r="B310" s="85" t="s">
        <v>111</v>
      </c>
      <c r="C310" s="63">
        <v>2009</v>
      </c>
      <c r="D310" s="1">
        <f>R310+F310+E310</f>
        <v>4</v>
      </c>
      <c r="G310" s="154"/>
      <c r="I310" s="205"/>
      <c r="J310" s="196"/>
      <c r="K310" s="186"/>
      <c r="L310" s="186"/>
      <c r="M310" s="186"/>
      <c r="N310" s="186"/>
      <c r="O310" s="219">
        <f>AA310</f>
        <v>4</v>
      </c>
      <c r="P310" s="120"/>
      <c r="Q310" s="96">
        <f>I310+J310+K310+L310+M310+N310+O310</f>
        <v>4</v>
      </c>
      <c r="R310" s="97">
        <f>IF(C310=2012, Q310/3,Q310)+P310</f>
        <v>4</v>
      </c>
      <c r="S310" s="22"/>
      <c r="T310" s="219"/>
      <c r="U310" s="186"/>
      <c r="V310" s="186"/>
      <c r="W310" s="186"/>
      <c r="X310" s="186">
        <f>AL310</f>
        <v>4</v>
      </c>
      <c r="Y310" s="120"/>
      <c r="Z310" s="96">
        <f>SUM(T310:X310)</f>
        <v>4</v>
      </c>
      <c r="AA310" s="97">
        <f>IF(C310=2011, Z310/3,Z310)+Y310</f>
        <v>4</v>
      </c>
      <c r="AB310" s="22"/>
      <c r="AG310" s="13">
        <f>4</f>
        <v>4</v>
      </c>
      <c r="AJ310" s="95"/>
      <c r="AK310" s="96">
        <f>SUM(AC310:AI310)</f>
        <v>4</v>
      </c>
      <c r="AL310" s="97">
        <f>IF(C310=2010, AK310/3,AK310)+AJ310</f>
        <v>4</v>
      </c>
    </row>
    <row r="311" spans="1:57" x14ac:dyDescent="0.25">
      <c r="A311" s="71" t="s">
        <v>648</v>
      </c>
      <c r="B311" s="60" t="s">
        <v>63</v>
      </c>
      <c r="C311" s="72">
        <v>2010</v>
      </c>
      <c r="D311" s="1">
        <f>R311+F311+E311</f>
        <v>296</v>
      </c>
      <c r="G311" s="154"/>
      <c r="I311" s="205">
        <f>24</f>
        <v>24</v>
      </c>
      <c r="J311" s="196">
        <f>16</f>
        <v>16</v>
      </c>
      <c r="K311" s="196">
        <f>10+4</f>
        <v>14</v>
      </c>
      <c r="L311" s="196">
        <f>40+3+6+6</f>
        <v>55</v>
      </c>
      <c r="M311" s="196">
        <f>40+4+6</f>
        <v>50</v>
      </c>
      <c r="N311" s="196">
        <f>32+8+9</f>
        <v>49</v>
      </c>
      <c r="O311" s="219">
        <f>AA311</f>
        <v>88</v>
      </c>
      <c r="P311" s="120"/>
      <c r="Q311" s="96">
        <f>I311+J311+K311+L311+M311+N311+O311</f>
        <v>296</v>
      </c>
      <c r="R311" s="97">
        <f>IF(C311=2012, Q311/3,Q311)+P311</f>
        <v>296</v>
      </c>
      <c r="S311" s="22"/>
      <c r="T311" s="237">
        <f>40+6</f>
        <v>46</v>
      </c>
      <c r="U311" s="196">
        <f>23+3</f>
        <v>26</v>
      </c>
      <c r="V311" s="196">
        <f>14+2</f>
        <v>16</v>
      </c>
      <c r="W311" s="196"/>
      <c r="X311" s="196"/>
      <c r="Y311" s="120"/>
      <c r="Z311" s="96">
        <f>SUM(T311:X311)</f>
        <v>88</v>
      </c>
      <c r="AA311" s="97">
        <f>IF(C311=2011, Z311/3,Z311)+Y311</f>
        <v>88</v>
      </c>
      <c r="AB311" s="22"/>
      <c r="AC311" s="219"/>
      <c r="AD311" s="219"/>
      <c r="AE311" s="219"/>
      <c r="AF311" s="219"/>
      <c r="AG311" s="219"/>
      <c r="AH311" s="219"/>
      <c r="AI311" s="36"/>
      <c r="AJ311" s="95"/>
      <c r="AK311" s="96"/>
      <c r="AL311" s="97"/>
    </row>
    <row r="312" spans="1:57" x14ac:dyDescent="0.25">
      <c r="A312" s="60" t="s">
        <v>443</v>
      </c>
      <c r="B312" s="65" t="s">
        <v>63</v>
      </c>
      <c r="C312" s="62">
        <v>2009</v>
      </c>
      <c r="D312" s="1">
        <f>R312+F312+E312</f>
        <v>0</v>
      </c>
      <c r="G312" s="154"/>
      <c r="I312" s="205"/>
      <c r="J312" s="196"/>
      <c r="K312" s="186"/>
      <c r="L312" s="170">
        <f>0</f>
        <v>0</v>
      </c>
      <c r="M312" s="170"/>
      <c r="N312" s="170"/>
      <c r="O312" s="219">
        <f>AA312</f>
        <v>0</v>
      </c>
      <c r="P312" s="120"/>
      <c r="Q312" s="96">
        <f>I312+J312+K312+L312+M312+N312+O312</f>
        <v>0</v>
      </c>
      <c r="R312" s="97">
        <f>IF(C312=2012, Q312/3,Q312)+P312</f>
        <v>0</v>
      </c>
      <c r="S312" s="22"/>
      <c r="T312" s="170"/>
      <c r="U312" s="170"/>
      <c r="V312" s="170"/>
      <c r="W312" s="170"/>
      <c r="X312" s="170">
        <f>AL312</f>
        <v>0</v>
      </c>
      <c r="Y312" s="120"/>
      <c r="Z312" s="96">
        <f>SUM(T312:X312)</f>
        <v>0</v>
      </c>
      <c r="AA312" s="97">
        <f>IF(C312=2011, Z312/3,Z312)+Y312</f>
        <v>0</v>
      </c>
      <c r="AB312" s="22"/>
      <c r="AG312" s="13">
        <f>0</f>
        <v>0</v>
      </c>
      <c r="AJ312" s="95"/>
      <c r="AK312" s="96">
        <f>SUM(AC312:AI312)</f>
        <v>0</v>
      </c>
      <c r="AL312" s="97">
        <f>IF(C312=2010, AK312/3,AK312)+AJ312</f>
        <v>0</v>
      </c>
    </row>
    <row r="313" spans="1:57" x14ac:dyDescent="0.25">
      <c r="A313" s="11" t="s">
        <v>889</v>
      </c>
      <c r="B313" s="60" t="s">
        <v>406</v>
      </c>
      <c r="C313" s="62">
        <v>2012</v>
      </c>
      <c r="D313" s="1">
        <f>R313+F313+E313</f>
        <v>24.333333333333332</v>
      </c>
      <c r="G313" s="237"/>
      <c r="I313" s="205">
        <f>0</f>
        <v>0</v>
      </c>
      <c r="J313" s="196">
        <f>16</f>
        <v>16</v>
      </c>
      <c r="K313" s="186"/>
      <c r="L313" s="170">
        <f>43+14</f>
        <v>57</v>
      </c>
      <c r="M313" s="50"/>
      <c r="N313" s="50"/>
      <c r="O313" s="219">
        <f>AA313</f>
        <v>0</v>
      </c>
      <c r="P313" s="154"/>
      <c r="Q313" s="96">
        <f>I313+J313+K313+L313+M313+N313+O313</f>
        <v>73</v>
      </c>
      <c r="R313" s="97">
        <f>IF(C313=2012, Q313/3,Q313)+P313</f>
        <v>24.333333333333332</v>
      </c>
      <c r="U313" s="50"/>
      <c r="V313" s="50"/>
      <c r="W313" s="50"/>
      <c r="X313" s="50"/>
      <c r="Y313" s="120"/>
      <c r="Z313" s="96">
        <f>SUM(T313:X313)</f>
        <v>0</v>
      </c>
      <c r="AA313" s="97">
        <f>IF(C313=2011, Z313/3,Z313)+Y313</f>
        <v>0</v>
      </c>
      <c r="AB313" s="22"/>
      <c r="AC313" s="237"/>
      <c r="AD313" s="237"/>
      <c r="AE313" s="237"/>
      <c r="AF313" s="237"/>
      <c r="AG313" s="237"/>
      <c r="AH313" s="237"/>
      <c r="AI313" s="240"/>
      <c r="AJ313" s="95"/>
      <c r="AK313" s="96"/>
      <c r="AL313" s="97"/>
    </row>
    <row r="314" spans="1:57" x14ac:dyDescent="0.25">
      <c r="A314" s="11" t="s">
        <v>39</v>
      </c>
      <c r="B314" s="11" t="s">
        <v>36</v>
      </c>
      <c r="C314" s="3">
        <v>2010</v>
      </c>
      <c r="D314" s="1">
        <f>R314+F314+E314</f>
        <v>37</v>
      </c>
      <c r="G314" s="154"/>
      <c r="I314" s="237"/>
      <c r="J314" s="237"/>
      <c r="K314" s="237"/>
      <c r="L314" s="237"/>
      <c r="M314" s="237"/>
      <c r="N314" s="237"/>
      <c r="O314" s="219">
        <f>AA314</f>
        <v>37</v>
      </c>
      <c r="P314" s="120"/>
      <c r="Q314" s="96">
        <f>I314+J314+K314+L314+M314+N314+O314</f>
        <v>37</v>
      </c>
      <c r="R314" s="97">
        <f>IF(C314=2012, Q314/3,Q314)+P314</f>
        <v>37</v>
      </c>
      <c r="S314" s="22"/>
      <c r="T314" s="237"/>
      <c r="U314" s="237"/>
      <c r="V314" s="237"/>
      <c r="W314" s="237"/>
      <c r="X314" s="237">
        <f>AL314</f>
        <v>37</v>
      </c>
      <c r="Y314" s="120"/>
      <c r="Z314" s="96">
        <f>SUM(T314:X314)</f>
        <v>37</v>
      </c>
      <c r="AA314" s="97">
        <f>IF(C314=2011, Z314/3,Z314)+Y314</f>
        <v>37</v>
      </c>
      <c r="AB314" s="22"/>
      <c r="AC314" s="237">
        <f>8</f>
        <v>8</v>
      </c>
      <c r="AD314" s="237"/>
      <c r="AE314" s="237">
        <f>24+12</f>
        <v>36</v>
      </c>
      <c r="AF314" s="237">
        <f>52+15</f>
        <v>67</v>
      </c>
      <c r="AG314" s="237"/>
      <c r="AH314" s="237"/>
      <c r="AI314" s="240"/>
      <c r="AJ314" s="95"/>
      <c r="AK314" s="96">
        <f>SUM(AC314:AI314)</f>
        <v>111</v>
      </c>
      <c r="AL314" s="97">
        <f>IF(C314=2010, AK314/3,AK314)+AJ314</f>
        <v>37</v>
      </c>
    </row>
    <row r="315" spans="1:57" x14ac:dyDescent="0.25">
      <c r="A315" s="11" t="s">
        <v>417</v>
      </c>
      <c r="B315" s="11" t="s">
        <v>63</v>
      </c>
      <c r="C315" s="3">
        <v>2010</v>
      </c>
      <c r="D315" s="1">
        <f>R315+F315+E315</f>
        <v>142.66666666666669</v>
      </c>
      <c r="G315" s="154"/>
      <c r="I315" s="205"/>
      <c r="J315" s="196"/>
      <c r="K315" s="186"/>
      <c r="L315" s="170"/>
      <c r="M315" s="50">
        <f>24+3+6</f>
        <v>33</v>
      </c>
      <c r="N315" s="50">
        <f>0+9</f>
        <v>9</v>
      </c>
      <c r="O315" s="219">
        <f>AA315</f>
        <v>100.66666666666667</v>
      </c>
      <c r="P315" s="120"/>
      <c r="Q315" s="96">
        <f>I315+J315+K315+L315+M315+N315+O315</f>
        <v>142.66666666666669</v>
      </c>
      <c r="R315" s="97">
        <f>IF(C315=2012, Q315/3,Q315)+P315</f>
        <v>142.66666666666669</v>
      </c>
      <c r="S315" s="22"/>
      <c r="T315" s="219">
        <f>24+4</f>
        <v>28</v>
      </c>
      <c r="U315" s="50">
        <f>11+12</f>
        <v>23</v>
      </c>
      <c r="V315" s="50">
        <f>22+12</f>
        <v>34</v>
      </c>
      <c r="W315" s="50">
        <f>10</f>
        <v>10</v>
      </c>
      <c r="X315" s="50">
        <f>AL315</f>
        <v>5.666666666666667</v>
      </c>
      <c r="Y315" s="120"/>
      <c r="Z315" s="96">
        <f>SUM(T315:X315)</f>
        <v>100.66666666666667</v>
      </c>
      <c r="AA315" s="97">
        <f>IF(C315=2011, Z315/3,Z315)+Y315</f>
        <v>100.66666666666667</v>
      </c>
      <c r="AB315" s="22"/>
      <c r="AC315" s="237"/>
      <c r="AD315" s="237"/>
      <c r="AE315" s="237"/>
      <c r="AF315" s="237"/>
      <c r="AG315" s="237">
        <f>0</f>
        <v>0</v>
      </c>
      <c r="AH315" s="237">
        <f>17</f>
        <v>17</v>
      </c>
      <c r="AI315" s="240"/>
      <c r="AJ315" s="95"/>
      <c r="AK315" s="96">
        <f>SUM(AC315:AI315)</f>
        <v>17</v>
      </c>
      <c r="AL315" s="97">
        <f>IF(C315=2010, AK315/3,AK315)+AJ315</f>
        <v>5.666666666666667</v>
      </c>
    </row>
    <row r="316" spans="1:57" x14ac:dyDescent="0.25">
      <c r="A316" s="53" t="s">
        <v>917</v>
      </c>
      <c r="B316" s="84" t="s">
        <v>64</v>
      </c>
      <c r="C316" s="54"/>
      <c r="D316" s="1">
        <f>R316+F316+E316</f>
        <v>6</v>
      </c>
      <c r="F316" s="233"/>
      <c r="G316" s="233"/>
      <c r="H316" s="233"/>
      <c r="I316" s="233"/>
      <c r="J316" s="233"/>
      <c r="K316" s="233"/>
      <c r="L316" s="233">
        <f>0+3+3</f>
        <v>6</v>
      </c>
      <c r="M316" s="233"/>
      <c r="N316" s="233"/>
      <c r="O316" s="233">
        <f>AA316</f>
        <v>0</v>
      </c>
      <c r="P316" s="120"/>
      <c r="Q316" s="96">
        <f>I316+J316+K316+L316+M316+N316+O316</f>
        <v>6</v>
      </c>
      <c r="R316" s="97">
        <f>IF(C316=2012, Q316/3,Q316)+P316</f>
        <v>6</v>
      </c>
      <c r="S316" s="22"/>
      <c r="T316" s="233"/>
      <c r="U316" s="233"/>
      <c r="V316" s="233"/>
      <c r="W316" s="233"/>
      <c r="X316" s="233"/>
      <c r="Y316" s="120"/>
      <c r="Z316" s="96">
        <f>SUM(T316:X316)</f>
        <v>0</v>
      </c>
      <c r="AA316" s="97">
        <f>IF(C316=2011, Z316/3,Z316)+Y316</f>
        <v>0</v>
      </c>
      <c r="AB316" s="22"/>
      <c r="AC316" s="41"/>
      <c r="AD316" s="41"/>
      <c r="AE316" s="41"/>
      <c r="AF316" s="41"/>
      <c r="AG316" s="41"/>
      <c r="AH316" s="41"/>
      <c r="AI316" s="41"/>
      <c r="AJ316" s="95"/>
      <c r="AK316" s="96"/>
      <c r="AL316" s="97"/>
    </row>
    <row r="317" spans="1:57" s="17" customFormat="1" x14ac:dyDescent="0.25">
      <c r="A317" s="71" t="s">
        <v>237</v>
      </c>
      <c r="B317" s="71" t="s">
        <v>232</v>
      </c>
      <c r="C317" s="3">
        <v>2012</v>
      </c>
      <c r="D317" s="1">
        <f>R317+F317+E317+G317</f>
        <v>179</v>
      </c>
      <c r="E317" s="233">
        <f>6</f>
        <v>6</v>
      </c>
      <c r="F317" s="219">
        <f>30+6</f>
        <v>36</v>
      </c>
      <c r="G317" s="154">
        <f>39</f>
        <v>39</v>
      </c>
      <c r="H317" s="219"/>
      <c r="I317" s="205"/>
      <c r="J317" s="196"/>
      <c r="K317" s="186"/>
      <c r="L317" s="170"/>
      <c r="M317" s="50"/>
      <c r="N317" s="50">
        <f>38</f>
        <v>38</v>
      </c>
      <c r="O317" s="219">
        <f>AA317</f>
        <v>256</v>
      </c>
      <c r="P317" s="120"/>
      <c r="Q317" s="96">
        <f>I317+J317+K317+L317+M317+N317+O317</f>
        <v>294</v>
      </c>
      <c r="R317" s="97">
        <f>IF(C317=2012, Q317/3,Q317)+P317</f>
        <v>98</v>
      </c>
      <c r="S317" s="238"/>
      <c r="T317" s="238"/>
      <c r="U317" s="50"/>
      <c r="V317" s="50">
        <f>42</f>
        <v>42</v>
      </c>
      <c r="W317" s="50">
        <f>50</f>
        <v>50</v>
      </c>
      <c r="X317" s="50">
        <f>AL317</f>
        <v>164</v>
      </c>
      <c r="Y317" s="120"/>
      <c r="Z317" s="96">
        <f>SUM(T317:X317)</f>
        <v>256</v>
      </c>
      <c r="AA317" s="97">
        <f>IF(C317=2011, Z317/3,Z317)+Y317</f>
        <v>256</v>
      </c>
      <c r="AB317" s="22"/>
      <c r="AC317" s="41"/>
      <c r="AD317" s="41"/>
      <c r="AE317" s="41">
        <f>69</f>
        <v>69</v>
      </c>
      <c r="AF317" s="41">
        <f>57</f>
        <v>57</v>
      </c>
      <c r="AG317" s="41"/>
      <c r="AH317" s="41">
        <f>24</f>
        <v>24</v>
      </c>
      <c r="AI317" s="13">
        <f>14</f>
        <v>14</v>
      </c>
      <c r="AJ317" s="95"/>
      <c r="AK317" s="96">
        <f>SUM(AC317:AI317)</f>
        <v>164</v>
      </c>
      <c r="AL317" s="97">
        <f>IF(C317=2015, AK317/3,AK317)+AJ317</f>
        <v>164</v>
      </c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</row>
    <row r="318" spans="1:57" x14ac:dyDescent="0.25">
      <c r="A318" s="11" t="s">
        <v>469</v>
      </c>
      <c r="B318" s="60" t="s">
        <v>232</v>
      </c>
      <c r="C318" s="62">
        <v>2010</v>
      </c>
      <c r="D318" s="1">
        <f>R318+F318+E318</f>
        <v>25</v>
      </c>
      <c r="G318" s="154"/>
      <c r="I318" s="205"/>
      <c r="J318" s="205"/>
      <c r="K318" s="205"/>
      <c r="L318" s="205"/>
      <c r="M318" s="205"/>
      <c r="N318" s="205"/>
      <c r="O318" s="219">
        <f>AA318</f>
        <v>25</v>
      </c>
      <c r="P318" s="120"/>
      <c r="Q318" s="96">
        <f>I318+J318+K318+L318+M318+N318+O318</f>
        <v>25</v>
      </c>
      <c r="R318" s="97">
        <f>IF(C318=2012, Q318/3,Q318)+P318</f>
        <v>25</v>
      </c>
      <c r="S318" s="22"/>
      <c r="T318" s="237"/>
      <c r="U318" s="196"/>
      <c r="V318" s="196"/>
      <c r="W318" s="196">
        <f>10</f>
        <v>10</v>
      </c>
      <c r="X318" s="196">
        <f>AL318</f>
        <v>15</v>
      </c>
      <c r="Y318" s="120"/>
      <c r="Z318" s="96">
        <f>SUM(T318:X318)</f>
        <v>25</v>
      </c>
      <c r="AA318" s="97">
        <f>IF(C318=2011, Z318/3,Z318)+Y318</f>
        <v>25</v>
      </c>
      <c r="AB318" s="22"/>
      <c r="AC318" s="41"/>
      <c r="AD318" s="41"/>
      <c r="AE318" s="41"/>
      <c r="AF318" s="41"/>
      <c r="AG318" s="41"/>
      <c r="AH318" s="41">
        <f>45</f>
        <v>45</v>
      </c>
      <c r="AJ318" s="95"/>
      <c r="AK318" s="96">
        <f>SUM(AC318:AI318)</f>
        <v>45</v>
      </c>
      <c r="AL318" s="97">
        <f>IF(C318=2010, AK318/3,AK318)+AJ318</f>
        <v>15</v>
      </c>
    </row>
    <row r="319" spans="1:57" x14ac:dyDescent="0.25">
      <c r="A319" s="11" t="s">
        <v>875</v>
      </c>
      <c r="B319" s="60" t="s">
        <v>479</v>
      </c>
      <c r="C319" s="62">
        <v>2012</v>
      </c>
      <c r="D319" s="1">
        <f>R319+F319+E319</f>
        <v>0.33333333333333331</v>
      </c>
      <c r="G319" s="154"/>
      <c r="I319" s="205"/>
      <c r="J319" s="205"/>
      <c r="K319" s="205"/>
      <c r="L319" s="205"/>
      <c r="M319" s="205">
        <f>1</f>
        <v>1</v>
      </c>
      <c r="N319" s="205"/>
      <c r="O319" s="219">
        <f>AA319</f>
        <v>0</v>
      </c>
      <c r="P319" s="154"/>
      <c r="Q319" s="96">
        <f>I319+J319+K319+L319+M319+N319+O319</f>
        <v>1</v>
      </c>
      <c r="R319" s="97">
        <f>IF(C319=2012, Q319/3,Q319)+P319</f>
        <v>0.33333333333333331</v>
      </c>
      <c r="U319" s="196"/>
      <c r="V319" s="196"/>
      <c r="W319" s="196"/>
      <c r="X319" s="196"/>
      <c r="Y319" s="120"/>
      <c r="Z319" s="96">
        <f>SUM(T319:X319)</f>
        <v>0</v>
      </c>
      <c r="AA319" s="97">
        <f>IF(C319=2011, Z319/3,Z319)+Y319</f>
        <v>0</v>
      </c>
      <c r="AB319" s="22"/>
      <c r="AC319" s="237"/>
      <c r="AD319" s="237"/>
      <c r="AE319" s="237"/>
      <c r="AF319" s="237"/>
      <c r="AG319" s="237"/>
      <c r="AH319" s="237"/>
      <c r="AI319" s="240"/>
      <c r="AJ319" s="95"/>
      <c r="AK319" s="96"/>
      <c r="AL319" s="97"/>
    </row>
    <row r="320" spans="1:57" x14ac:dyDescent="0.25">
      <c r="A320" s="11" t="s">
        <v>806</v>
      </c>
      <c r="B320" s="11" t="s">
        <v>587</v>
      </c>
      <c r="C320" s="3">
        <v>2009</v>
      </c>
      <c r="D320" s="1">
        <f>R320+F320+E320</f>
        <v>3</v>
      </c>
      <c r="G320" s="154"/>
      <c r="I320" s="205"/>
      <c r="J320" s="205"/>
      <c r="K320" s="205"/>
      <c r="L320" s="205"/>
      <c r="M320" s="205"/>
      <c r="N320" s="205">
        <f>3</f>
        <v>3</v>
      </c>
      <c r="O320" s="219">
        <f>AA320</f>
        <v>0</v>
      </c>
      <c r="P320" s="120"/>
      <c r="Q320" s="96">
        <f>I320+J320+K320+L320+M320+N320+O320</f>
        <v>3</v>
      </c>
      <c r="R320" s="97">
        <f>IF(C320=2012, Q320/3,Q320)+P320</f>
        <v>3</v>
      </c>
      <c r="S320" s="22"/>
      <c r="T320" s="237"/>
      <c r="U320" s="205"/>
      <c r="V320" s="205"/>
      <c r="W320" s="205"/>
      <c r="X320" s="205"/>
      <c r="Y320" s="120"/>
      <c r="Z320" s="96">
        <f>SUM(T320:X320)</f>
        <v>0</v>
      </c>
      <c r="AA320" s="97"/>
      <c r="AB320" s="22"/>
      <c r="AC320" s="237"/>
      <c r="AD320" s="237"/>
      <c r="AE320" s="237"/>
      <c r="AF320" s="237"/>
      <c r="AG320" s="237"/>
      <c r="AH320" s="237"/>
      <c r="AI320" s="240"/>
      <c r="AJ320" s="95"/>
      <c r="AK320" s="96"/>
      <c r="AL320" s="97"/>
    </row>
    <row r="321" spans="1:57" x14ac:dyDescent="0.25">
      <c r="A321" s="11" t="s">
        <v>312</v>
      </c>
      <c r="B321" s="60" t="s">
        <v>6</v>
      </c>
      <c r="C321" s="62">
        <v>2010</v>
      </c>
      <c r="D321" s="1">
        <f>R321+F321+E321</f>
        <v>79.666666666666657</v>
      </c>
      <c r="F321" s="233"/>
      <c r="G321" s="154"/>
      <c r="H321" s="233"/>
      <c r="I321" s="233"/>
      <c r="J321" s="233"/>
      <c r="K321" s="233"/>
      <c r="L321" s="233"/>
      <c r="M321" s="233"/>
      <c r="N321" s="233"/>
      <c r="O321" s="233">
        <f>AA321</f>
        <v>79.666666666666657</v>
      </c>
      <c r="P321" s="120"/>
      <c r="Q321" s="96">
        <f>I321+J321+K321+L321+M321+N321+O321</f>
        <v>79.666666666666657</v>
      </c>
      <c r="R321" s="97">
        <f>IF(C321=2012, Q321/3,Q321)+P321</f>
        <v>79.666666666666657</v>
      </c>
      <c r="S321" s="22"/>
      <c r="T321" s="233"/>
      <c r="U321" s="233"/>
      <c r="V321" s="233"/>
      <c r="W321" s="233">
        <f>14+12</f>
        <v>26</v>
      </c>
      <c r="X321" s="233">
        <f>AL321</f>
        <v>53.666666666666664</v>
      </c>
      <c r="Y321" s="120"/>
      <c r="Z321" s="96">
        <f>SUM(T321:X321)</f>
        <v>79.666666666666657</v>
      </c>
      <c r="AA321" s="97">
        <f>IF(C321=2011, Z321/3,Z321)+Y321</f>
        <v>79.666666666666657</v>
      </c>
      <c r="AB321" s="22"/>
      <c r="AC321" s="41"/>
      <c r="AD321" s="41"/>
      <c r="AE321" s="41"/>
      <c r="AF321" s="41">
        <f>16+9</f>
        <v>25</v>
      </c>
      <c r="AG321" s="41">
        <f>49</f>
        <v>49</v>
      </c>
      <c r="AH321" s="41">
        <f>48+39</f>
        <v>87</v>
      </c>
      <c r="AJ321" s="95"/>
      <c r="AK321" s="96">
        <f>SUM(AC321:AI321)</f>
        <v>161</v>
      </c>
      <c r="AL321" s="97">
        <f>IF(C321=2010, AK321/3,AK321)+AJ321</f>
        <v>53.666666666666664</v>
      </c>
    </row>
    <row r="322" spans="1:57" x14ac:dyDescent="0.25">
      <c r="A322" s="11" t="s">
        <v>471</v>
      </c>
      <c r="B322" s="60" t="s">
        <v>6</v>
      </c>
      <c r="C322" s="62">
        <v>2010</v>
      </c>
      <c r="D322" s="1">
        <f>R322+F322+E322</f>
        <v>22.333333333333332</v>
      </c>
      <c r="G322" s="154"/>
      <c r="I322" s="233"/>
      <c r="J322" s="233"/>
      <c r="K322" s="233"/>
      <c r="L322" s="233"/>
      <c r="M322" s="233"/>
      <c r="N322" s="233"/>
      <c r="O322" s="219">
        <f>AA322</f>
        <v>22.333333333333332</v>
      </c>
      <c r="P322" s="120"/>
      <c r="Q322" s="96">
        <f>I322+J322+K322+L322+M322+N322+O322</f>
        <v>22.333333333333332</v>
      </c>
      <c r="R322" s="97">
        <f>IF(C322=2012, Q322/3,Q322)+P322</f>
        <v>22.333333333333332</v>
      </c>
      <c r="S322" s="22"/>
      <c r="T322" s="233"/>
      <c r="U322" s="196"/>
      <c r="V322" s="196"/>
      <c r="W322" s="196"/>
      <c r="X322" s="196">
        <f>AL322</f>
        <v>22.333333333333332</v>
      </c>
      <c r="Y322" s="120"/>
      <c r="Z322" s="96">
        <f>SUM(T322:X322)</f>
        <v>22.333333333333332</v>
      </c>
      <c r="AA322" s="97">
        <f>IF(C322=2011, Z322/3,Z322)+Y322</f>
        <v>22.333333333333332</v>
      </c>
      <c r="AB322" s="22"/>
      <c r="AC322" s="237"/>
      <c r="AD322" s="237"/>
      <c r="AE322" s="237"/>
      <c r="AF322" s="237"/>
      <c r="AG322" s="237"/>
      <c r="AH322" s="237">
        <f>37+30</f>
        <v>67</v>
      </c>
      <c r="AI322" s="240"/>
      <c r="AJ322" s="95"/>
      <c r="AK322" s="96">
        <f>SUM(AC322:AI322)</f>
        <v>67</v>
      </c>
      <c r="AL322" s="97">
        <f>IF(C322=2010, AK322/3,AK322)+AJ322</f>
        <v>22.333333333333332</v>
      </c>
    </row>
    <row r="323" spans="1:57" x14ac:dyDescent="0.25">
      <c r="A323" s="53" t="s">
        <v>821</v>
      </c>
      <c r="B323" s="84" t="s">
        <v>587</v>
      </c>
      <c r="C323" s="54">
        <v>2011</v>
      </c>
      <c r="D323" s="1">
        <f>R323+F323+E323</f>
        <v>3</v>
      </c>
      <c r="G323" s="154"/>
      <c r="I323" s="233"/>
      <c r="J323" s="233"/>
      <c r="K323" s="233"/>
      <c r="L323" s="233"/>
      <c r="M323" s="233"/>
      <c r="N323" s="233">
        <f>3</f>
        <v>3</v>
      </c>
      <c r="O323" s="219">
        <f>AA323</f>
        <v>0</v>
      </c>
      <c r="P323" s="120"/>
      <c r="Q323" s="96">
        <f>I323+J323+K323+L323+M323+N323+O323</f>
        <v>3</v>
      </c>
      <c r="R323" s="97">
        <f>IF(C323=2012, Q323/3,Q323)+P323</f>
        <v>3</v>
      </c>
      <c r="S323" s="22"/>
      <c r="T323" s="233"/>
      <c r="U323" s="50"/>
      <c r="V323" s="50"/>
      <c r="W323" s="50"/>
      <c r="X323" s="50"/>
      <c r="Y323" s="120"/>
      <c r="Z323" s="96">
        <f>SUM(T323:X323)</f>
        <v>0</v>
      </c>
      <c r="AA323" s="97"/>
      <c r="AB323" s="22"/>
      <c r="AC323" s="41"/>
      <c r="AD323" s="41"/>
      <c r="AE323" s="41"/>
      <c r="AF323" s="41"/>
      <c r="AG323" s="41"/>
      <c r="AH323" s="41"/>
      <c r="AI323" s="41"/>
      <c r="AJ323" s="95"/>
      <c r="AK323" s="96"/>
      <c r="AL323" s="97"/>
    </row>
    <row r="324" spans="1:57" s="17" customFormat="1" x14ac:dyDescent="0.25">
      <c r="A324" s="11" t="s">
        <v>320</v>
      </c>
      <c r="B324" s="60" t="s">
        <v>86</v>
      </c>
      <c r="C324" s="62">
        <v>2011</v>
      </c>
      <c r="D324" s="1">
        <f>R324+F324+E324</f>
        <v>0</v>
      </c>
      <c r="E324" s="108"/>
      <c r="F324" s="108"/>
      <c r="G324" s="101"/>
      <c r="H324" s="108"/>
      <c r="I324" s="233"/>
      <c r="J324" s="233"/>
      <c r="K324" s="233"/>
      <c r="L324" s="233"/>
      <c r="M324" s="233"/>
      <c r="N324" s="233"/>
      <c r="O324" s="233">
        <f>AA324</f>
        <v>0</v>
      </c>
      <c r="P324" s="120"/>
      <c r="Q324" s="96">
        <f>I324+J324+K324+L324+M324+N324+O324</f>
        <v>0</v>
      </c>
      <c r="R324" s="97">
        <f>IF(C324=2012, Q324/3,Q324)+P324</f>
        <v>0</v>
      </c>
      <c r="S324" s="237"/>
      <c r="T324" s="233"/>
      <c r="U324" s="233"/>
      <c r="V324" s="233"/>
      <c r="W324" s="233"/>
      <c r="X324" s="233">
        <f>AL324</f>
        <v>0</v>
      </c>
      <c r="Y324" s="120"/>
      <c r="Z324" s="96">
        <f>SUM(T324:X324)</f>
        <v>0</v>
      </c>
      <c r="AA324" s="97">
        <f>IF(C324=2011, Z324/3,Z324)+Y324</f>
        <v>0</v>
      </c>
      <c r="AB324" s="22"/>
      <c r="AC324" s="237"/>
      <c r="AD324" s="237"/>
      <c r="AE324" s="237"/>
      <c r="AF324" s="237">
        <f>0</f>
        <v>0</v>
      </c>
      <c r="AG324" s="237"/>
      <c r="AH324" s="237"/>
      <c r="AI324" s="240"/>
      <c r="AJ324" s="95"/>
      <c r="AK324" s="96">
        <f>SUM(AC324:AI324)</f>
        <v>0</v>
      </c>
      <c r="AL324" s="97">
        <f>IF(C324=2015, AK324/3,AK324)+AJ324</f>
        <v>0</v>
      </c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</row>
    <row r="325" spans="1:57" x14ac:dyDescent="0.25">
      <c r="A325" s="11" t="s">
        <v>96</v>
      </c>
      <c r="B325" s="61" t="s">
        <v>63</v>
      </c>
      <c r="C325" s="62">
        <v>2012</v>
      </c>
      <c r="D325" s="1">
        <f>R325+F325+E325</f>
        <v>168.66666666666666</v>
      </c>
      <c r="G325" s="154"/>
      <c r="I325" s="233">
        <f>54</f>
        <v>54</v>
      </c>
      <c r="J325" s="233">
        <f>0</f>
        <v>0</v>
      </c>
      <c r="K325" s="233">
        <f>3</f>
        <v>3</v>
      </c>
      <c r="L325" s="233">
        <f>0</f>
        <v>0</v>
      </c>
      <c r="M325" s="233">
        <f>27</f>
        <v>27</v>
      </c>
      <c r="N325" s="233">
        <f>18</f>
        <v>18</v>
      </c>
      <c r="O325" s="233">
        <f>AA325</f>
        <v>362</v>
      </c>
      <c r="P325" s="120">
        <f>6+8</f>
        <v>14</v>
      </c>
      <c r="Q325" s="96">
        <f>I325+J325+K325+L325+M325+N325+O325</f>
        <v>464</v>
      </c>
      <c r="R325" s="97">
        <f>IF(C325=2012, Q325/3,Q325)+P325</f>
        <v>168.66666666666666</v>
      </c>
      <c r="S325" s="238"/>
      <c r="T325" s="238"/>
      <c r="U325" s="233"/>
      <c r="V325" s="233">
        <f>6+72</f>
        <v>78</v>
      </c>
      <c r="W325" s="233">
        <f>24+54</f>
        <v>78</v>
      </c>
      <c r="X325" s="233">
        <f>AL325</f>
        <v>206</v>
      </c>
      <c r="Y325" s="120"/>
      <c r="Z325" s="96">
        <f>SUM(T325:X325)</f>
        <v>362</v>
      </c>
      <c r="AA325" s="97">
        <f>IF(C325=2011, Z325/3,Z325)+Y325</f>
        <v>362</v>
      </c>
      <c r="AB325" s="22"/>
      <c r="AC325" s="237"/>
      <c r="AD325" s="237">
        <f>18+3</f>
        <v>21</v>
      </c>
      <c r="AE325" s="237"/>
      <c r="AF325" s="237">
        <f>27+6</f>
        <v>33</v>
      </c>
      <c r="AG325" s="237"/>
      <c r="AH325" s="237">
        <f>24+60</f>
        <v>84</v>
      </c>
      <c r="AI325" s="240">
        <f>68</f>
        <v>68</v>
      </c>
      <c r="AJ325" s="95"/>
      <c r="AK325" s="96">
        <f>SUM(AC325:AI325)</f>
        <v>206</v>
      </c>
      <c r="AL325" s="97">
        <f>IF(C325=2015, AK325/3,AK325)+AJ325</f>
        <v>206</v>
      </c>
    </row>
    <row r="326" spans="1:57" ht="16.5" customHeight="1" x14ac:dyDescent="0.25">
      <c r="A326" s="11" t="s">
        <v>414</v>
      </c>
      <c r="B326" s="11" t="s">
        <v>273</v>
      </c>
      <c r="C326" s="3">
        <v>2012</v>
      </c>
      <c r="D326" s="1">
        <f>R326+F326+E326</f>
        <v>3.3333333333333335</v>
      </c>
      <c r="G326" s="154"/>
      <c r="I326" s="219"/>
      <c r="J326" s="219"/>
      <c r="K326" s="219"/>
      <c r="L326" s="219"/>
      <c r="M326" s="219"/>
      <c r="N326" s="219"/>
      <c r="O326" s="219">
        <f>AA326</f>
        <v>10</v>
      </c>
      <c r="P326" s="120"/>
      <c r="Q326" s="96">
        <f>I326+J326+K326+L326+M326+N326+O326</f>
        <v>10</v>
      </c>
      <c r="R326" s="97">
        <f>IF(C326=2012, Q326/3,Q326)+P326</f>
        <v>3.3333333333333335</v>
      </c>
      <c r="S326" s="238"/>
      <c r="T326" s="238"/>
      <c r="U326" s="219"/>
      <c r="V326" s="219"/>
      <c r="W326" s="219"/>
      <c r="X326" s="219">
        <f>AL326</f>
        <v>10</v>
      </c>
      <c r="Y326" s="120"/>
      <c r="Z326" s="96">
        <f>SUM(T326:X326)</f>
        <v>10</v>
      </c>
      <c r="AA326" s="97">
        <f>IF(C326=2011, Z326/3,Z326)+Y326</f>
        <v>10</v>
      </c>
      <c r="AB326" s="22"/>
      <c r="AC326" s="237"/>
      <c r="AD326" s="237"/>
      <c r="AE326" s="237"/>
      <c r="AF326" s="237"/>
      <c r="AG326" s="237">
        <f>10</f>
        <v>10</v>
      </c>
      <c r="AH326" s="237">
        <f>0</f>
        <v>0</v>
      </c>
      <c r="AI326" s="240"/>
      <c r="AJ326" s="95"/>
      <c r="AK326" s="96">
        <f>SUM(AC326:AI326)</f>
        <v>10</v>
      </c>
      <c r="AL326" s="97">
        <f>IF(C326=2015, AK326/3,AK326)+AJ326</f>
        <v>10</v>
      </c>
    </row>
    <row r="327" spans="1:57" ht="16.5" customHeight="1" x14ac:dyDescent="0.25">
      <c r="A327" s="51" t="s">
        <v>54</v>
      </c>
      <c r="B327" s="84" t="s">
        <v>23</v>
      </c>
      <c r="C327" s="52">
        <v>2009</v>
      </c>
      <c r="D327" s="1">
        <f>R327+F327+E327</f>
        <v>97</v>
      </c>
      <c r="G327" s="154"/>
      <c r="I327" s="233"/>
      <c r="J327" s="233"/>
      <c r="K327" s="233"/>
      <c r="L327" s="233"/>
      <c r="M327" s="233"/>
      <c r="N327" s="233"/>
      <c r="O327" s="233">
        <f>AA327</f>
        <v>97</v>
      </c>
      <c r="P327" s="120"/>
      <c r="Q327" s="96">
        <f>I327+J327+K327+L327+M327+N327+O327</f>
        <v>97</v>
      </c>
      <c r="R327" s="97">
        <f>IF(C327=2012, Q327/3,Q327)+P327</f>
        <v>97</v>
      </c>
      <c r="S327" s="22"/>
      <c r="T327" s="233"/>
      <c r="U327" s="233"/>
      <c r="V327" s="233"/>
      <c r="W327" s="233"/>
      <c r="X327" s="233">
        <f>AL327</f>
        <v>97</v>
      </c>
      <c r="Y327" s="120"/>
      <c r="Z327" s="96">
        <f>SUM(T327:X327)</f>
        <v>97</v>
      </c>
      <c r="AA327" s="97">
        <f>IF(C327=2011, Z327/3,Z327)+Y327</f>
        <v>97</v>
      </c>
      <c r="AB327" s="22"/>
      <c r="AC327" s="237">
        <f>6+3</f>
        <v>9</v>
      </c>
      <c r="AD327" s="237"/>
      <c r="AE327" s="237"/>
      <c r="AF327" s="237"/>
      <c r="AG327" s="237"/>
      <c r="AH327" s="237"/>
      <c r="AI327" s="237">
        <v>88</v>
      </c>
      <c r="AJ327" s="95"/>
      <c r="AK327" s="96">
        <f>SUM(AC327:AI327)</f>
        <v>97</v>
      </c>
      <c r="AL327" s="97">
        <f>IF(C327=2010, AK327/3,AK327)+AJ327</f>
        <v>97</v>
      </c>
    </row>
    <row r="328" spans="1:57" x14ac:dyDescent="0.25">
      <c r="A328" s="60" t="s">
        <v>679</v>
      </c>
      <c r="B328" s="65" t="s">
        <v>602</v>
      </c>
      <c r="C328" s="62"/>
      <c r="D328" s="1">
        <f>R328+F328+E328</f>
        <v>21</v>
      </c>
      <c r="G328" s="154"/>
      <c r="I328" s="205"/>
      <c r="J328" s="205"/>
      <c r="K328" s="205"/>
      <c r="L328" s="205"/>
      <c r="M328" s="205"/>
      <c r="N328" s="205"/>
      <c r="O328" s="219">
        <f>AA328</f>
        <v>21</v>
      </c>
      <c r="P328" s="120"/>
      <c r="Q328" s="96">
        <f>I328+J328+K328+L328+M328+N328+O328</f>
        <v>21</v>
      </c>
      <c r="R328" s="97">
        <f>IF(C328=2012, Q328/3,Q328)+P328</f>
        <v>21</v>
      </c>
      <c r="S328" s="22"/>
      <c r="T328" s="205"/>
      <c r="U328" s="205"/>
      <c r="V328" s="205">
        <f>21</f>
        <v>21</v>
      </c>
      <c r="W328" s="205"/>
      <c r="X328" s="205"/>
      <c r="Y328" s="120"/>
      <c r="Z328" s="96">
        <f>SUM(T328:X328)</f>
        <v>21</v>
      </c>
      <c r="AA328" s="97">
        <f>IF(C328=2011, Z328/3,Z328)+Y328</f>
        <v>21</v>
      </c>
      <c r="AB328" s="22"/>
      <c r="AJ328" s="95"/>
      <c r="AK328" s="96"/>
      <c r="AL328" s="97"/>
    </row>
    <row r="329" spans="1:57" x14ac:dyDescent="0.25">
      <c r="A329" s="11" t="s">
        <v>261</v>
      </c>
      <c r="B329" s="60" t="s">
        <v>64</v>
      </c>
      <c r="C329" s="62">
        <v>2012</v>
      </c>
      <c r="D329" s="1">
        <f>R329+F329+E329</f>
        <v>2</v>
      </c>
      <c r="G329" s="154"/>
      <c r="I329" s="233"/>
      <c r="J329" s="233"/>
      <c r="K329" s="233"/>
      <c r="L329" s="233"/>
      <c r="M329" s="233"/>
      <c r="N329" s="233"/>
      <c r="O329" s="233">
        <f>AA329</f>
        <v>6</v>
      </c>
      <c r="P329" s="120"/>
      <c r="Q329" s="96">
        <f>I329+J329+K329+L329+M329+N329+O329</f>
        <v>6</v>
      </c>
      <c r="R329" s="97">
        <f>IF(C329=2012, Q329/3,Q329)+P329</f>
        <v>2</v>
      </c>
      <c r="S329" s="238"/>
      <c r="T329" s="238"/>
      <c r="U329" s="233"/>
      <c r="V329" s="233"/>
      <c r="W329" s="233"/>
      <c r="X329" s="233">
        <f>AL329</f>
        <v>6</v>
      </c>
      <c r="Y329" s="120"/>
      <c r="Z329" s="96">
        <f>SUM(T329:X329)</f>
        <v>6</v>
      </c>
      <c r="AA329" s="97">
        <f>IF(C329=2011, Z329/3,Z329)+Y329</f>
        <v>6</v>
      </c>
      <c r="AB329" s="22"/>
      <c r="AC329" s="237"/>
      <c r="AD329" s="237"/>
      <c r="AE329" s="237">
        <f>6</f>
        <v>6</v>
      </c>
      <c r="AF329" s="237"/>
      <c r="AG329" s="237"/>
      <c r="AH329" s="237"/>
      <c r="AI329" s="240"/>
      <c r="AJ329" s="95"/>
      <c r="AK329" s="96">
        <f>SUM(AC329:AI329)</f>
        <v>6</v>
      </c>
      <c r="AL329" s="97">
        <f>IF(C329=2015, AK329/3,AK329)+AJ329</f>
        <v>6</v>
      </c>
    </row>
    <row r="330" spans="1:57" x14ac:dyDescent="0.25">
      <c r="A330" s="11" t="s">
        <v>395</v>
      </c>
      <c r="B330" s="60" t="s">
        <v>6</v>
      </c>
      <c r="C330" s="62">
        <v>2011</v>
      </c>
      <c r="D330" s="1">
        <f>R330+F330+E330</f>
        <v>12</v>
      </c>
      <c r="G330" s="154"/>
      <c r="I330" s="233"/>
      <c r="J330" s="233"/>
      <c r="K330" s="233"/>
      <c r="L330" s="233"/>
      <c r="M330" s="233"/>
      <c r="N330" s="233"/>
      <c r="O330" s="233">
        <f>AA330</f>
        <v>12</v>
      </c>
      <c r="P330" s="120"/>
      <c r="Q330" s="96">
        <f>I330+J330+K330+L330+M330+N330+O330</f>
        <v>12</v>
      </c>
      <c r="R330" s="97">
        <f>IF(C330=2012, Q330/3,Q330)+P330</f>
        <v>12</v>
      </c>
      <c r="S330" s="237"/>
      <c r="T330" s="233"/>
      <c r="U330" s="233"/>
      <c r="V330" s="233"/>
      <c r="W330" s="233"/>
      <c r="X330" s="233">
        <f>AL330</f>
        <v>36</v>
      </c>
      <c r="Y330" s="120"/>
      <c r="Z330" s="96">
        <f>SUM(T330:X330)</f>
        <v>36</v>
      </c>
      <c r="AA330" s="97">
        <f>IF(C330=2011, Z330/3,Z330)+Y330</f>
        <v>12</v>
      </c>
      <c r="AB330" s="22"/>
      <c r="AC330" s="237"/>
      <c r="AD330" s="237"/>
      <c r="AE330" s="237"/>
      <c r="AF330" s="237"/>
      <c r="AG330" s="237">
        <f>36</f>
        <v>36</v>
      </c>
      <c r="AH330" s="237"/>
      <c r="AI330" s="240"/>
      <c r="AJ330" s="95"/>
      <c r="AK330" s="96">
        <f>SUM(AC330:AI330)</f>
        <v>36</v>
      </c>
      <c r="AL330" s="97">
        <f>IF(C330=2015, AK330/3,AK330)+AJ330</f>
        <v>36</v>
      </c>
    </row>
    <row r="331" spans="1:57" x14ac:dyDescent="0.25">
      <c r="A331" s="60" t="s">
        <v>797</v>
      </c>
      <c r="B331" s="65" t="s">
        <v>64</v>
      </c>
      <c r="C331" s="62">
        <v>2009</v>
      </c>
      <c r="D331" s="1">
        <f>R331+F331+E331</f>
        <v>36</v>
      </c>
      <c r="G331" s="154"/>
      <c r="I331" s="233"/>
      <c r="J331" s="233"/>
      <c r="K331" s="233"/>
      <c r="L331" s="233">
        <f>0+3</f>
        <v>3</v>
      </c>
      <c r="M331" s="233">
        <f>24+3</f>
        <v>27</v>
      </c>
      <c r="N331" s="233">
        <f>0</f>
        <v>0</v>
      </c>
      <c r="O331" s="233">
        <f>AA331</f>
        <v>0</v>
      </c>
      <c r="P331" s="120">
        <f>6</f>
        <v>6</v>
      </c>
      <c r="Q331" s="96">
        <f>I331+J331+K331+L331+M331+N331+O331</f>
        <v>30</v>
      </c>
      <c r="R331" s="97">
        <f>IF(C331=2012, Q331/3,Q331)+P331</f>
        <v>36</v>
      </c>
      <c r="S331" s="22"/>
      <c r="T331" s="233"/>
      <c r="U331" s="233"/>
      <c r="V331" s="233"/>
      <c r="W331" s="233"/>
      <c r="X331" s="233"/>
      <c r="Y331" s="120"/>
      <c r="Z331" s="96">
        <f>SUM(T331:X331)</f>
        <v>0</v>
      </c>
      <c r="AA331" s="97">
        <f>IF(C331=2011, Z331/3,Z331)+Y331</f>
        <v>0</v>
      </c>
      <c r="AB331" s="22"/>
      <c r="AJ331" s="95"/>
      <c r="AK331" s="96"/>
      <c r="AL331" s="97"/>
    </row>
    <row r="332" spans="1:57" x14ac:dyDescent="0.25">
      <c r="A332" s="60" t="s">
        <v>924</v>
      </c>
      <c r="B332" s="65" t="s">
        <v>64</v>
      </c>
      <c r="C332" s="62"/>
      <c r="D332" s="1">
        <f>R332+F332+E332</f>
        <v>3</v>
      </c>
      <c r="I332" s="233"/>
      <c r="J332" s="233"/>
      <c r="K332" s="233"/>
      <c r="L332" s="233">
        <f>3</f>
        <v>3</v>
      </c>
      <c r="M332" s="233"/>
      <c r="N332" s="233"/>
      <c r="O332" s="233">
        <f>AA332</f>
        <v>0</v>
      </c>
      <c r="P332" s="120"/>
      <c r="Q332" s="96">
        <f>I332+J332+K332+L332+M332+N332+O332</f>
        <v>3</v>
      </c>
      <c r="R332" s="97">
        <f>IF(C332=2012, Q332/3,Q332)+P332</f>
        <v>3</v>
      </c>
      <c r="S332" s="22"/>
      <c r="T332" s="237"/>
      <c r="U332" s="233"/>
      <c r="V332" s="233"/>
      <c r="W332" s="233"/>
      <c r="X332" s="233"/>
      <c r="Y332" s="120"/>
      <c r="Z332" s="96">
        <f>SUM(T332:X332)</f>
        <v>0</v>
      </c>
      <c r="AA332" s="97">
        <f>IF(C332=2011, Z332/3,Z332)+Y332</f>
        <v>0</v>
      </c>
      <c r="AB332" s="22"/>
      <c r="AJ332" s="95"/>
      <c r="AK332" s="96"/>
      <c r="AL332" s="97"/>
    </row>
    <row r="333" spans="1:57" x14ac:dyDescent="0.25">
      <c r="A333" s="11" t="s">
        <v>785</v>
      </c>
      <c r="B333" s="87" t="s">
        <v>64</v>
      </c>
      <c r="C333" s="3">
        <v>2009</v>
      </c>
      <c r="D333" s="1">
        <f>R333+F333+E333</f>
        <v>32</v>
      </c>
      <c r="G333" s="154"/>
      <c r="L333" s="156">
        <f>10+3+3</f>
        <v>16</v>
      </c>
      <c r="N333" s="156">
        <f>16</f>
        <v>16</v>
      </c>
      <c r="O333" s="233">
        <f>AA333</f>
        <v>0</v>
      </c>
      <c r="P333" s="120"/>
      <c r="Q333" s="96">
        <f>I333+J333+K333+L333+M333+N333+O333</f>
        <v>32</v>
      </c>
      <c r="R333" s="97">
        <f>IF(C333=2012, Q333/3,Q333)+P333</f>
        <v>32</v>
      </c>
      <c r="Z333" s="96">
        <f>SUM(T333:X333)</f>
        <v>0</v>
      </c>
      <c r="AA333" s="97">
        <f>IF(C333=2011, Z333/3,Z333)+Y333</f>
        <v>0</v>
      </c>
    </row>
    <row r="334" spans="1:57" x14ac:dyDescent="0.25">
      <c r="A334" s="11" t="s">
        <v>897</v>
      </c>
      <c r="B334" s="11" t="s">
        <v>297</v>
      </c>
      <c r="C334" s="3">
        <v>2012</v>
      </c>
      <c r="D334" s="1">
        <f>R334+F334+E334</f>
        <v>0</v>
      </c>
      <c r="I334" s="233"/>
      <c r="J334" s="233"/>
      <c r="K334" s="233"/>
      <c r="L334" s="233">
        <f>0</f>
        <v>0</v>
      </c>
      <c r="M334" s="233"/>
      <c r="N334" s="233"/>
      <c r="O334" s="233">
        <f>AA334</f>
        <v>0</v>
      </c>
      <c r="P334" s="237"/>
      <c r="Q334" s="96">
        <f>I334+J334+K334+L334+M334+N334+O334</f>
        <v>0</v>
      </c>
      <c r="R334" s="97">
        <f>IF(C334=2012, Q334/3,Q334)+P334</f>
        <v>0</v>
      </c>
      <c r="U334" s="233"/>
      <c r="V334" s="233"/>
      <c r="W334" s="233"/>
      <c r="X334" s="233"/>
      <c r="Y334" s="237"/>
      <c r="Z334" s="96">
        <f>SUM(T334:X334)</f>
        <v>0</v>
      </c>
      <c r="AA334" s="97">
        <f>IF(C334=2011, Z334/3,Z334)+Y334</f>
        <v>0</v>
      </c>
      <c r="AB334" s="240"/>
      <c r="AC334" s="237"/>
      <c r="AD334" s="237"/>
      <c r="AE334" s="237"/>
      <c r="AF334" s="237"/>
      <c r="AG334" s="237"/>
      <c r="AH334" s="237"/>
      <c r="AI334" s="240"/>
    </row>
    <row r="335" spans="1:57" x14ac:dyDescent="0.25">
      <c r="A335" s="11" t="s">
        <v>225</v>
      </c>
      <c r="B335" s="65" t="s">
        <v>87</v>
      </c>
      <c r="C335" s="3">
        <v>2010</v>
      </c>
      <c r="D335" s="1">
        <f>R335+F335+E335</f>
        <v>15</v>
      </c>
      <c r="E335" s="233">
        <f>0</f>
        <v>0</v>
      </c>
      <c r="G335" s="154"/>
      <c r="I335" s="233"/>
      <c r="J335" s="233"/>
      <c r="K335" s="233"/>
      <c r="L335" s="233"/>
      <c r="M335" s="233"/>
      <c r="N335" s="233"/>
      <c r="O335" s="233">
        <f>AA335</f>
        <v>15</v>
      </c>
      <c r="P335" s="120"/>
      <c r="Q335" s="96">
        <f>I335+J335+K335+L335+M335+N335+O335</f>
        <v>15</v>
      </c>
      <c r="R335" s="97">
        <f>IF(C335=2012, Q335/3,Q335)+P335</f>
        <v>15</v>
      </c>
      <c r="S335" s="22"/>
      <c r="T335" s="237"/>
      <c r="U335" s="233"/>
      <c r="V335" s="233"/>
      <c r="W335" s="233"/>
      <c r="X335" s="233">
        <f>AL335</f>
        <v>15</v>
      </c>
      <c r="Y335" s="120"/>
      <c r="Z335" s="96">
        <f>SUM(T335:X335)</f>
        <v>15</v>
      </c>
      <c r="AA335" s="97">
        <f>IF(C335=2011, Z335/3,Z335)+Y335</f>
        <v>15</v>
      </c>
      <c r="AB335" s="22"/>
      <c r="AC335" s="41"/>
      <c r="AD335" s="41"/>
      <c r="AE335" s="41"/>
      <c r="AF335" s="41"/>
      <c r="AG335" s="41"/>
      <c r="AH335" s="41"/>
      <c r="AJ335" s="95">
        <f>15</f>
        <v>15</v>
      </c>
      <c r="AK335" s="96">
        <f>SUM(AC335:AI335)</f>
        <v>0</v>
      </c>
      <c r="AL335" s="97">
        <f>IF(C335=2010, AK335/3,AK335)+AJ335</f>
        <v>15</v>
      </c>
    </row>
    <row r="336" spans="1:57" s="17" customFormat="1" x14ac:dyDescent="0.25">
      <c r="A336" s="253" t="s">
        <v>15</v>
      </c>
      <c r="B336" s="254"/>
      <c r="C336" s="255"/>
      <c r="D336" s="1">
        <f t="shared" ref="D336" si="14">R336+F336+E336</f>
        <v>0</v>
      </c>
      <c r="E336" s="233"/>
      <c r="F336" s="219"/>
      <c r="G336" s="219"/>
      <c r="H336" s="219"/>
      <c r="I336" s="205"/>
      <c r="J336" s="196"/>
      <c r="K336" s="186"/>
      <c r="L336" s="170"/>
      <c r="M336" s="50"/>
      <c r="N336" s="50"/>
      <c r="O336" s="219">
        <f t="shared" ref="O336" si="15">AA336</f>
        <v>0</v>
      </c>
      <c r="P336" s="50"/>
      <c r="Q336" s="96">
        <f t="shared" ref="Q336" si="16">I336+J336+K336+L336+M336+N336+O336</f>
        <v>0</v>
      </c>
      <c r="R336" s="97">
        <f t="shared" ref="R336" si="17">IF(C336=2012, Q336/3,Q336)+P336</f>
        <v>0</v>
      </c>
      <c r="S336" s="22"/>
      <c r="T336" s="50"/>
      <c r="U336" s="50"/>
      <c r="V336" s="50"/>
      <c r="W336" s="50"/>
      <c r="X336" s="50"/>
      <c r="Y336" s="50"/>
      <c r="Z336" s="96">
        <f t="shared" ref="Z336" si="18">SUM(T336:X336)</f>
        <v>0</v>
      </c>
      <c r="AA336" s="97">
        <f t="shared" ref="AA336" si="19">IF(C336=2011, Z336/3,Z336)+Y336</f>
        <v>0</v>
      </c>
      <c r="AB336" s="22"/>
      <c r="AC336" s="50"/>
      <c r="AD336" s="50"/>
      <c r="AE336" s="50"/>
      <c r="AF336" s="50"/>
      <c r="AG336" s="50"/>
      <c r="AH336" s="50"/>
      <c r="AI336" s="50"/>
      <c r="AJ336" s="68"/>
      <c r="AK336" s="68"/>
      <c r="AL336" s="68"/>
    </row>
    <row r="337" spans="1:57" s="17" customFormat="1" x14ac:dyDescent="0.25">
      <c r="A337" s="60" t="s">
        <v>1171</v>
      </c>
      <c r="B337" s="65" t="s">
        <v>86</v>
      </c>
      <c r="C337" s="62">
        <v>2012</v>
      </c>
      <c r="D337" s="1">
        <f t="shared" ref="D337:D348" si="20">R337+F337+E337</f>
        <v>6</v>
      </c>
      <c r="E337" s="233">
        <f>6</f>
        <v>6</v>
      </c>
      <c r="F337" s="233"/>
      <c r="G337" s="154"/>
      <c r="H337" s="233"/>
      <c r="I337" s="233"/>
      <c r="J337" s="233"/>
      <c r="K337" s="233"/>
      <c r="L337" s="233"/>
      <c r="M337" s="233"/>
      <c r="N337" s="233"/>
      <c r="O337" s="233"/>
      <c r="P337" s="120"/>
      <c r="Q337" s="96"/>
      <c r="R337" s="97"/>
      <c r="S337" s="22"/>
      <c r="T337" s="233"/>
      <c r="U337" s="233"/>
      <c r="V337" s="233"/>
      <c r="W337" s="233"/>
      <c r="X337" s="233"/>
      <c r="Y337" s="120"/>
      <c r="Z337" s="96"/>
      <c r="AA337" s="97"/>
      <c r="AB337" s="22"/>
      <c r="AC337" s="13"/>
      <c r="AD337" s="13"/>
      <c r="AE337" s="13"/>
      <c r="AF337" s="13"/>
      <c r="AG337" s="13"/>
      <c r="AH337" s="13"/>
      <c r="AI337" s="13"/>
      <c r="AJ337" s="95"/>
      <c r="AK337" s="96"/>
      <c r="AL337" s="97"/>
    </row>
    <row r="338" spans="1:57" s="17" customFormat="1" x14ac:dyDescent="0.25">
      <c r="A338" s="60" t="s">
        <v>981</v>
      </c>
      <c r="B338" s="65" t="s">
        <v>948</v>
      </c>
      <c r="C338" s="62">
        <v>2009</v>
      </c>
      <c r="D338" s="1">
        <f t="shared" si="20"/>
        <v>12</v>
      </c>
      <c r="E338" s="233"/>
      <c r="F338" s="219"/>
      <c r="G338" s="219"/>
      <c r="H338" s="219"/>
      <c r="I338" s="205"/>
      <c r="J338" s="196">
        <f>10+2</f>
        <v>12</v>
      </c>
      <c r="K338" s="186"/>
      <c r="L338" s="170"/>
      <c r="M338" s="50"/>
      <c r="N338" s="50"/>
      <c r="O338" s="219">
        <f>AA338</f>
        <v>0</v>
      </c>
      <c r="P338" s="120"/>
      <c r="Q338" s="96">
        <f>I338+J338+K338+L338+M338+N338+O338</f>
        <v>12</v>
      </c>
      <c r="R338" s="97">
        <f>IF(C338=2012, Q338/3,Q338)+P338</f>
        <v>12</v>
      </c>
      <c r="S338" s="22"/>
      <c r="T338" s="205"/>
      <c r="U338" s="50"/>
      <c r="V338" s="50"/>
      <c r="W338" s="50"/>
      <c r="X338" s="50"/>
      <c r="Y338" s="120"/>
      <c r="Z338" s="96">
        <f>SUM(T338:X338)</f>
        <v>0</v>
      </c>
      <c r="AA338" s="97">
        <f>IF(C338=2011, Z338/3,Z338)+Y338</f>
        <v>0</v>
      </c>
      <c r="AB338" s="22"/>
      <c r="AC338" s="13"/>
      <c r="AD338" s="13"/>
      <c r="AE338" s="13"/>
      <c r="AF338" s="13"/>
      <c r="AG338" s="13"/>
      <c r="AH338" s="13"/>
      <c r="AI338" s="13"/>
      <c r="AJ338" s="95"/>
      <c r="AK338" s="96"/>
      <c r="AL338" s="97"/>
    </row>
    <row r="339" spans="1:57" s="17" customFormat="1" x14ac:dyDescent="0.25">
      <c r="A339" s="60" t="s">
        <v>1170</v>
      </c>
      <c r="B339" s="65" t="s">
        <v>86</v>
      </c>
      <c r="C339" s="62">
        <v>2010</v>
      </c>
      <c r="D339" s="1">
        <f t="shared" si="20"/>
        <v>8</v>
      </c>
      <c r="E339" s="233">
        <f>8</f>
        <v>8</v>
      </c>
      <c r="F339" s="233"/>
      <c r="G339" s="233"/>
      <c r="H339" s="233"/>
      <c r="I339" s="233"/>
      <c r="J339" s="233"/>
      <c r="K339" s="233"/>
      <c r="L339" s="233"/>
      <c r="M339" s="233"/>
      <c r="N339" s="233"/>
      <c r="O339" s="233"/>
      <c r="P339" s="120"/>
      <c r="Q339" s="96"/>
      <c r="R339" s="97"/>
      <c r="S339" s="22"/>
      <c r="T339" s="233"/>
      <c r="U339" s="233"/>
      <c r="V339" s="233"/>
      <c r="W339" s="233"/>
      <c r="X339" s="233"/>
      <c r="Y339" s="120"/>
      <c r="Z339" s="96"/>
      <c r="AA339" s="97"/>
      <c r="AB339" s="22"/>
      <c r="AC339" s="13"/>
      <c r="AD339" s="13"/>
      <c r="AE339" s="13"/>
      <c r="AF339" s="13"/>
      <c r="AG339" s="13"/>
      <c r="AH339" s="13"/>
      <c r="AI339" s="13"/>
      <c r="AJ339" s="95"/>
      <c r="AK339" s="96"/>
      <c r="AL339" s="97"/>
    </row>
    <row r="340" spans="1:57" x14ac:dyDescent="0.25">
      <c r="A340" s="11" t="s">
        <v>1008</v>
      </c>
      <c r="B340" s="60" t="s">
        <v>86</v>
      </c>
      <c r="C340" s="62">
        <v>2012</v>
      </c>
      <c r="D340" s="1">
        <f t="shared" si="20"/>
        <v>33</v>
      </c>
      <c r="E340" s="233">
        <f>22+4</f>
        <v>26</v>
      </c>
      <c r="I340" s="205">
        <f>21</f>
        <v>21</v>
      </c>
      <c r="J340" s="196"/>
      <c r="K340" s="186"/>
      <c r="L340" s="170"/>
      <c r="M340" s="170"/>
      <c r="N340" s="170"/>
      <c r="O340" s="219">
        <f>AA340</f>
        <v>0</v>
      </c>
      <c r="P340" s="154"/>
      <c r="Q340" s="96">
        <f>I340+J340+K340+L340+M340+N340+O340</f>
        <v>21</v>
      </c>
      <c r="R340" s="97">
        <f>IF(C340=2012, Q340/3,Q340)+P340</f>
        <v>7</v>
      </c>
      <c r="S340" s="209"/>
      <c r="T340" s="209"/>
      <c r="U340" s="170"/>
      <c r="V340" s="170"/>
      <c r="W340" s="170"/>
      <c r="X340" s="170"/>
      <c r="Y340" s="120"/>
      <c r="Z340" s="96">
        <f>SUM(T340:X340)</f>
        <v>0</v>
      </c>
      <c r="AA340" s="97">
        <f>IF(C340=2011, Z340/3,Z340)+Y340</f>
        <v>0</v>
      </c>
      <c r="AB340" s="22"/>
      <c r="AC340" s="205"/>
      <c r="AD340" s="205"/>
      <c r="AE340" s="205"/>
      <c r="AF340" s="205"/>
      <c r="AG340" s="205"/>
      <c r="AH340" s="205"/>
      <c r="AI340" s="22"/>
      <c r="AJ340" s="68"/>
      <c r="AK340" s="96"/>
      <c r="AL340" s="9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</row>
    <row r="341" spans="1:57" x14ac:dyDescent="0.25">
      <c r="A341" s="60" t="s">
        <v>1064</v>
      </c>
      <c r="B341" s="65" t="s">
        <v>86</v>
      </c>
      <c r="C341" s="62">
        <v>2011</v>
      </c>
      <c r="D341" s="1">
        <f t="shared" si="20"/>
        <v>15</v>
      </c>
      <c r="I341" s="205">
        <f>15</f>
        <v>15</v>
      </c>
      <c r="J341" s="196"/>
      <c r="K341" s="186"/>
      <c r="L341" s="170"/>
      <c r="M341" s="170"/>
      <c r="N341" s="170"/>
      <c r="O341" s="219">
        <f>AA341</f>
        <v>0</v>
      </c>
      <c r="P341" s="120"/>
      <c r="Q341" s="96">
        <f>I341+J341+K341+L341+M341+N341+O341</f>
        <v>15</v>
      </c>
      <c r="R341" s="97">
        <f>IF(C341=2012, Q341/3,Q341)+P341</f>
        <v>15</v>
      </c>
      <c r="S341" s="22"/>
      <c r="T341" s="205"/>
      <c r="U341" s="170"/>
      <c r="V341" s="170"/>
      <c r="W341" s="170"/>
      <c r="X341" s="170"/>
      <c r="Y341" s="120"/>
      <c r="Z341" s="96">
        <f>SUM(T341:X341)</f>
        <v>0</v>
      </c>
      <c r="AA341" s="97">
        <f>IF(C341=2011, Z341/3,Z341)+Y341</f>
        <v>0</v>
      </c>
      <c r="AB341" s="22"/>
      <c r="AJ341" s="95"/>
      <c r="AK341" s="96"/>
      <c r="AL341" s="9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</row>
    <row r="342" spans="1:57" x14ac:dyDescent="0.25">
      <c r="A342" s="11" t="s">
        <v>1188</v>
      </c>
      <c r="B342" s="87" t="s">
        <v>87</v>
      </c>
      <c r="C342" s="3">
        <v>2012</v>
      </c>
      <c r="D342" s="1">
        <f t="shared" si="20"/>
        <v>12</v>
      </c>
      <c r="E342" s="233">
        <v>12</v>
      </c>
    </row>
    <row r="343" spans="1:57" x14ac:dyDescent="0.25">
      <c r="A343" s="60" t="s">
        <v>1165</v>
      </c>
      <c r="B343" s="65" t="s">
        <v>86</v>
      </c>
      <c r="C343" s="62">
        <v>2009</v>
      </c>
      <c r="D343" s="1">
        <f t="shared" si="20"/>
        <v>13</v>
      </c>
      <c r="E343" s="233">
        <f>13</f>
        <v>13</v>
      </c>
      <c r="I343" s="205"/>
      <c r="J343" s="205"/>
      <c r="K343" s="205"/>
      <c r="L343" s="205"/>
      <c r="M343" s="205"/>
      <c r="N343" s="205"/>
      <c r="O343" s="219"/>
      <c r="P343" s="120"/>
      <c r="Q343" s="96"/>
      <c r="R343" s="97"/>
      <c r="S343" s="22"/>
      <c r="T343" s="205"/>
      <c r="U343" s="205"/>
      <c r="V343" s="205"/>
      <c r="W343" s="205"/>
      <c r="X343" s="205"/>
      <c r="Y343" s="120"/>
      <c r="Z343" s="96"/>
      <c r="AA343" s="97"/>
      <c r="AB343" s="22"/>
      <c r="AJ343" s="95"/>
      <c r="AK343" s="96"/>
      <c r="AL343" s="9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</row>
    <row r="344" spans="1:57" x14ac:dyDescent="0.25">
      <c r="A344" s="11" t="s">
        <v>1176</v>
      </c>
      <c r="B344" s="87" t="s">
        <v>87</v>
      </c>
      <c r="C344" s="3">
        <v>2011</v>
      </c>
      <c r="D344" s="1">
        <f t="shared" si="20"/>
        <v>9</v>
      </c>
      <c r="E344" s="233">
        <f>9</f>
        <v>9</v>
      </c>
    </row>
    <row r="345" spans="1:57" x14ac:dyDescent="0.25">
      <c r="A345" s="60" t="s">
        <v>930</v>
      </c>
      <c r="B345" s="11" t="s">
        <v>1006</v>
      </c>
      <c r="C345" s="62">
        <v>2009</v>
      </c>
      <c r="D345" s="1">
        <f t="shared" si="20"/>
        <v>3</v>
      </c>
      <c r="F345" s="219">
        <f>3</f>
        <v>3</v>
      </c>
      <c r="I345" s="205"/>
      <c r="J345" s="205"/>
      <c r="K345" s="205">
        <f>0</f>
        <v>0</v>
      </c>
      <c r="L345" s="205"/>
      <c r="M345" s="205"/>
      <c r="N345" s="205"/>
      <c r="O345" s="219">
        <f>AA345</f>
        <v>0</v>
      </c>
      <c r="P345" s="120"/>
      <c r="Q345" s="96">
        <f>I345+J345+K345+L345+M345+N345+O345</f>
        <v>0</v>
      </c>
      <c r="R345" s="97">
        <f>IF(C345=2012, Q345/3,Q345)+P345</f>
        <v>0</v>
      </c>
      <c r="S345" s="22"/>
      <c r="T345" s="233"/>
      <c r="U345" s="205"/>
      <c r="V345" s="205"/>
      <c r="W345" s="205"/>
      <c r="X345" s="205"/>
      <c r="Y345" s="120"/>
      <c r="Z345" s="96">
        <f>SUM(T345:X345)</f>
        <v>0</v>
      </c>
      <c r="AA345" s="97">
        <f>IF(C345=2011, Z345/3,Z345)+Y345</f>
        <v>0</v>
      </c>
      <c r="AB345" s="22"/>
      <c r="AJ345" s="95"/>
      <c r="AK345" s="96"/>
      <c r="AL345" s="9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</row>
    <row r="346" spans="1:57" x14ac:dyDescent="0.25">
      <c r="A346" s="60" t="s">
        <v>1062</v>
      </c>
      <c r="B346" s="11" t="s">
        <v>1006</v>
      </c>
      <c r="C346" s="62">
        <v>2009</v>
      </c>
      <c r="D346" s="1">
        <f t="shared" si="20"/>
        <v>0</v>
      </c>
      <c r="I346" s="205">
        <f>0</f>
        <v>0</v>
      </c>
      <c r="J346" s="205"/>
      <c r="K346" s="205"/>
      <c r="L346" s="205"/>
      <c r="M346" s="205"/>
      <c r="N346" s="205"/>
      <c r="O346" s="219">
        <f>AA346</f>
        <v>0</v>
      </c>
      <c r="P346" s="120"/>
      <c r="Q346" s="96">
        <f>I346+J346+K346+L346+M346+N346+O346</f>
        <v>0</v>
      </c>
      <c r="R346" s="97">
        <f>IF(C346=2012, Q346/3,Q346)+P346</f>
        <v>0</v>
      </c>
      <c r="S346" s="22"/>
      <c r="T346" s="205"/>
      <c r="U346" s="196"/>
      <c r="V346" s="196"/>
      <c r="W346" s="196"/>
      <c r="X346" s="196"/>
      <c r="Y346" s="120"/>
      <c r="Z346" s="96">
        <f>SUM(T346:X346)</f>
        <v>0</v>
      </c>
      <c r="AA346" s="97">
        <f>IF(C346=2011, Z346/3,Z346)+Y346</f>
        <v>0</v>
      </c>
      <c r="AB346" s="22"/>
      <c r="AJ346" s="95"/>
      <c r="AK346" s="96"/>
      <c r="AL346" s="9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</row>
    <row r="347" spans="1:57" x14ac:dyDescent="0.25">
      <c r="A347" s="11" t="s">
        <v>1040</v>
      </c>
      <c r="B347" s="60" t="s">
        <v>86</v>
      </c>
      <c r="C347" s="62">
        <v>2012</v>
      </c>
      <c r="D347" s="1">
        <f t="shared" si="20"/>
        <v>0</v>
      </c>
      <c r="I347" s="205">
        <f>0</f>
        <v>0</v>
      </c>
      <c r="J347" s="205"/>
      <c r="K347" s="205"/>
      <c r="L347" s="205"/>
      <c r="M347" s="205"/>
      <c r="N347" s="205"/>
      <c r="O347" s="219">
        <f>AA347</f>
        <v>0</v>
      </c>
      <c r="P347" s="154"/>
      <c r="Q347" s="96">
        <f>I347+J347+K347+L347+M347+N347+O347</f>
        <v>0</v>
      </c>
      <c r="R347" s="97">
        <f>IF(C347=2012, Q347/3,Q347)+P347</f>
        <v>0</v>
      </c>
      <c r="S347" s="209"/>
      <c r="T347" s="209"/>
      <c r="U347" s="205"/>
      <c r="V347" s="205"/>
      <c r="W347" s="205"/>
      <c r="X347" s="205"/>
      <c r="Y347" s="120"/>
      <c r="Z347" s="96">
        <f>SUM(T347:X347)</f>
        <v>0</v>
      </c>
      <c r="AA347" s="97">
        <f>IF(C347=2011, Z347/3,Z347)+Y347</f>
        <v>0</v>
      </c>
      <c r="AB347" s="22"/>
      <c r="AC347" s="153"/>
      <c r="AD347" s="153"/>
      <c r="AE347" s="153"/>
      <c r="AF347" s="153"/>
      <c r="AG347" s="153"/>
      <c r="AH347" s="153"/>
      <c r="AJ347" s="95"/>
      <c r="AK347" s="96"/>
      <c r="AL347" s="97"/>
    </row>
    <row r="348" spans="1:57" x14ac:dyDescent="0.25">
      <c r="A348" s="11" t="s">
        <v>1182</v>
      </c>
      <c r="B348" s="87" t="s">
        <v>87</v>
      </c>
      <c r="C348" s="3">
        <v>2012</v>
      </c>
      <c r="D348" s="1">
        <f t="shared" si="20"/>
        <v>0</v>
      </c>
      <c r="E348" s="233">
        <f>0</f>
        <v>0</v>
      </c>
      <c r="F348" s="233"/>
      <c r="G348" s="233"/>
      <c r="H348" s="233"/>
    </row>
    <row r="349" spans="1:57" x14ac:dyDescent="0.25">
      <c r="A349" s="12" t="s">
        <v>1216</v>
      </c>
      <c r="B349" s="65" t="s">
        <v>87</v>
      </c>
      <c r="C349" s="4">
        <v>2009</v>
      </c>
      <c r="D349" s="1">
        <f>R349+F349+E349+G349</f>
        <v>18</v>
      </c>
      <c r="E349" s="233">
        <f>0</f>
        <v>0</v>
      </c>
      <c r="G349" s="219">
        <f>18</f>
        <v>18</v>
      </c>
    </row>
    <row r="350" spans="1:57" x14ac:dyDescent="0.25">
      <c r="A350" s="11" t="s">
        <v>962</v>
      </c>
      <c r="B350" s="60" t="s">
        <v>63</v>
      </c>
      <c r="C350" s="62">
        <v>2012</v>
      </c>
      <c r="D350" s="1">
        <f t="shared" ref="D350:D352" si="21">R350+F350+E350</f>
        <v>0</v>
      </c>
      <c r="I350" s="205">
        <f>0</f>
        <v>0</v>
      </c>
      <c r="J350" s="205">
        <f>0</f>
        <v>0</v>
      </c>
      <c r="K350" s="205"/>
      <c r="L350" s="205"/>
      <c r="M350" s="205"/>
      <c r="N350" s="205"/>
      <c r="O350" s="219">
        <f>AA350</f>
        <v>0</v>
      </c>
      <c r="P350" s="154"/>
      <c r="Q350" s="96">
        <f>I350+J350+K350+L350+M350+N350+O350</f>
        <v>0</v>
      </c>
      <c r="R350" s="97">
        <f>IF(C350=2012, Q350/3,Q350)+P350</f>
        <v>0</v>
      </c>
      <c r="S350" s="235"/>
      <c r="T350" s="235"/>
      <c r="U350" s="205"/>
      <c r="V350" s="205"/>
      <c r="W350" s="205"/>
      <c r="X350" s="205"/>
      <c r="Y350" s="120"/>
      <c r="Z350" s="96">
        <f>SUM(T350:X350)</f>
        <v>0</v>
      </c>
      <c r="AA350" s="97">
        <f>IF(C350=2011, Z350/3,Z350)+Y350</f>
        <v>0</v>
      </c>
      <c r="AB350" s="22"/>
      <c r="AC350" s="153"/>
      <c r="AD350" s="153"/>
      <c r="AE350" s="153"/>
      <c r="AF350" s="153"/>
      <c r="AG350" s="153"/>
      <c r="AH350" s="153"/>
      <c r="AJ350" s="95"/>
      <c r="AK350" s="96"/>
      <c r="AL350" s="97"/>
    </row>
    <row r="351" spans="1:57" x14ac:dyDescent="0.25">
      <c r="A351" s="11" t="s">
        <v>1162</v>
      </c>
      <c r="B351" s="60" t="s">
        <v>702</v>
      </c>
      <c r="C351" s="62">
        <v>2009</v>
      </c>
      <c r="D351" s="1">
        <f t="shared" si="21"/>
        <v>20</v>
      </c>
      <c r="E351" s="233">
        <f>20</f>
        <v>20</v>
      </c>
      <c r="I351" s="233"/>
      <c r="J351" s="233"/>
      <c r="K351" s="233"/>
      <c r="L351" s="233"/>
      <c r="M351" s="233"/>
      <c r="N351" s="233"/>
      <c r="O351" s="219"/>
      <c r="P351" s="154"/>
      <c r="Q351" s="96"/>
      <c r="R351" s="97"/>
      <c r="S351" s="235"/>
      <c r="T351" s="235"/>
      <c r="U351" s="50"/>
      <c r="V351" s="50"/>
      <c r="W351" s="50"/>
      <c r="X351" s="50"/>
      <c r="Y351" s="120"/>
      <c r="Z351" s="96"/>
      <c r="AA351" s="97"/>
      <c r="AB351" s="22"/>
      <c r="AC351" s="153"/>
      <c r="AD351" s="153"/>
      <c r="AE351" s="153"/>
      <c r="AF351" s="153"/>
      <c r="AG351" s="153"/>
      <c r="AH351" s="153"/>
      <c r="AJ351" s="95"/>
      <c r="AK351" s="96"/>
      <c r="AL351" s="97"/>
    </row>
    <row r="352" spans="1:57" x14ac:dyDescent="0.25">
      <c r="A352" s="11" t="s">
        <v>1057</v>
      </c>
      <c r="B352" s="11" t="s">
        <v>1006</v>
      </c>
      <c r="C352" s="3">
        <v>2011</v>
      </c>
      <c r="D352" s="1">
        <f t="shared" si="21"/>
        <v>21</v>
      </c>
      <c r="F352" s="219">
        <f>15</f>
        <v>15</v>
      </c>
      <c r="I352" s="233">
        <f>6</f>
        <v>6</v>
      </c>
      <c r="J352" s="233"/>
      <c r="K352" s="233"/>
      <c r="L352" s="233"/>
      <c r="M352" s="233"/>
      <c r="N352" s="233"/>
      <c r="O352" s="219">
        <f>AA352</f>
        <v>0</v>
      </c>
      <c r="P352" s="120"/>
      <c r="Q352" s="96">
        <f>I352+J352+K352+L352+M352+N352+O352</f>
        <v>6</v>
      </c>
      <c r="R352" s="97">
        <f>IF(C352=2012, Q352/3,Q352)+P352</f>
        <v>6</v>
      </c>
      <c r="S352" s="233"/>
      <c r="T352" s="233"/>
      <c r="U352" s="50"/>
      <c r="V352" s="50"/>
      <c r="W352" s="50"/>
      <c r="X352" s="50"/>
      <c r="Y352" s="120"/>
      <c r="Z352" s="96">
        <f>SUM(T352:X352)</f>
        <v>0</v>
      </c>
      <c r="AA352" s="97">
        <f>IF(C352=2011, Z352/3,Z352)+Y352</f>
        <v>0</v>
      </c>
      <c r="AB352" s="101"/>
      <c r="AC352" s="41"/>
      <c r="AD352" s="41"/>
      <c r="AE352" s="41"/>
      <c r="AF352" s="41"/>
      <c r="AG352" s="41"/>
      <c r="AH352" s="41"/>
      <c r="AI352" s="41"/>
      <c r="AJ352" s="95"/>
      <c r="AK352" s="96"/>
      <c r="AL352" s="97"/>
    </row>
    <row r="353" spans="1:57" x14ac:dyDescent="0.25">
      <c r="A353" s="11" t="s">
        <v>1208</v>
      </c>
      <c r="B353" s="87" t="s">
        <v>87</v>
      </c>
      <c r="C353" s="3">
        <v>2012</v>
      </c>
      <c r="D353" s="1">
        <f>R353+F353+E353+G353</f>
        <v>30</v>
      </c>
      <c r="E353" s="233">
        <f>0</f>
        <v>0</v>
      </c>
      <c r="G353" s="219">
        <f>30</f>
        <v>30</v>
      </c>
    </row>
    <row r="354" spans="1:57" x14ac:dyDescent="0.25">
      <c r="A354" s="11" t="s">
        <v>1005</v>
      </c>
      <c r="B354" s="11" t="s">
        <v>1006</v>
      </c>
      <c r="C354" s="3">
        <v>2012</v>
      </c>
      <c r="D354" s="1">
        <f t="shared" ref="D354:D374" si="22">R354+F354+E354</f>
        <v>7</v>
      </c>
      <c r="I354" s="156">
        <f>21</f>
        <v>21</v>
      </c>
      <c r="O354" s="219">
        <f>AA354</f>
        <v>0</v>
      </c>
      <c r="P354" s="154"/>
      <c r="Q354" s="96">
        <f>I354+J354+K354+L354+M354+N354+O354</f>
        <v>21</v>
      </c>
      <c r="R354" s="97">
        <f>IF(C354=2012, Q354/3,Q354)+P354</f>
        <v>7</v>
      </c>
      <c r="U354" s="170"/>
      <c r="V354" s="170"/>
      <c r="W354" s="170"/>
      <c r="X354" s="170"/>
      <c r="Y354" s="120"/>
      <c r="Z354" s="96">
        <f>SUM(T354:X354)</f>
        <v>0</v>
      </c>
      <c r="AA354" s="97">
        <f>IF(C354=2011, Z354/3,Z354)+Y354</f>
        <v>0</v>
      </c>
      <c r="AB354" s="101"/>
      <c r="AC354" s="153"/>
      <c r="AD354" s="153"/>
      <c r="AE354" s="153"/>
      <c r="AF354" s="153"/>
      <c r="AG354" s="153"/>
      <c r="AH354" s="153"/>
      <c r="AI354" s="153"/>
      <c r="AJ354" s="95"/>
      <c r="AK354" s="96"/>
      <c r="AL354" s="97"/>
    </row>
    <row r="355" spans="1:57" x14ac:dyDescent="0.25">
      <c r="A355" s="11" t="s">
        <v>1166</v>
      </c>
      <c r="B355" s="11" t="s">
        <v>702</v>
      </c>
      <c r="C355" s="3">
        <v>2010</v>
      </c>
      <c r="D355" s="1">
        <f t="shared" si="22"/>
        <v>8</v>
      </c>
      <c r="E355" s="233">
        <f>8</f>
        <v>8</v>
      </c>
      <c r="F355" s="233"/>
      <c r="G355" s="233"/>
      <c r="H355" s="233"/>
      <c r="O355" s="233"/>
      <c r="P355" s="154"/>
      <c r="Q355" s="96"/>
      <c r="R355" s="97"/>
      <c r="U355" s="233"/>
      <c r="V355" s="233"/>
      <c r="W355" s="233"/>
      <c r="X355" s="233"/>
      <c r="Y355" s="120"/>
      <c r="Z355" s="96"/>
      <c r="AA355" s="97"/>
      <c r="AB355" s="101"/>
      <c r="AC355" s="153"/>
      <c r="AD355" s="153"/>
      <c r="AE355" s="153"/>
      <c r="AF355" s="153"/>
      <c r="AG355" s="153"/>
      <c r="AH355" s="153"/>
      <c r="AI355" s="153"/>
      <c r="AJ355" s="95"/>
      <c r="AK355" s="96"/>
      <c r="AL355" s="97"/>
    </row>
    <row r="356" spans="1:57" x14ac:dyDescent="0.25">
      <c r="A356" s="45" t="s">
        <v>970</v>
      </c>
      <c r="B356" s="66" t="s">
        <v>948</v>
      </c>
      <c r="C356" s="46">
        <v>2012</v>
      </c>
      <c r="D356" s="1">
        <f t="shared" si="22"/>
        <v>14.666666666666666</v>
      </c>
      <c r="J356" s="156">
        <f>44</f>
        <v>44</v>
      </c>
      <c r="O356" s="219">
        <f>AA356</f>
        <v>0</v>
      </c>
      <c r="P356" s="154"/>
      <c r="Q356" s="96">
        <f>I356+J356+K356+L356+M356+N356+O356</f>
        <v>44</v>
      </c>
      <c r="R356" s="97">
        <f>IF(C356=2012, Q356/3,Q356)+P356</f>
        <v>14.666666666666666</v>
      </c>
      <c r="U356" s="50"/>
      <c r="V356" s="50"/>
      <c r="W356" s="50"/>
      <c r="X356" s="50"/>
      <c r="Y356" s="120"/>
      <c r="Z356" s="96">
        <f>SUM(T356:X356)</f>
        <v>0</v>
      </c>
      <c r="AA356" s="97">
        <f>IF(C356=2011, Z356/3,Z356)+Y356</f>
        <v>0</v>
      </c>
      <c r="AB356" s="101"/>
      <c r="AC356" s="153"/>
      <c r="AD356" s="153"/>
      <c r="AE356" s="153"/>
      <c r="AF356" s="153"/>
      <c r="AG356" s="153"/>
      <c r="AH356" s="153"/>
      <c r="AJ356" s="95"/>
      <c r="AK356" s="96"/>
      <c r="AL356" s="97"/>
    </row>
    <row r="357" spans="1:57" x14ac:dyDescent="0.25">
      <c r="A357" s="45" t="s">
        <v>958</v>
      </c>
      <c r="B357" s="66" t="s">
        <v>948</v>
      </c>
      <c r="C357" s="46">
        <v>2012</v>
      </c>
      <c r="D357" s="1">
        <f t="shared" si="22"/>
        <v>3.6666666666666665</v>
      </c>
      <c r="J357" s="156">
        <f>9+2</f>
        <v>11</v>
      </c>
      <c r="O357" s="233">
        <f>AA357</f>
        <v>0</v>
      </c>
      <c r="P357" s="154"/>
      <c r="Q357" s="96">
        <f>I357+J357+K357+L357+M357+N357+O357</f>
        <v>11</v>
      </c>
      <c r="R357" s="97">
        <f>IF(C357=2012, Q357/3,Q357)+P357</f>
        <v>3.6666666666666665</v>
      </c>
      <c r="U357" s="233"/>
      <c r="V357" s="233"/>
      <c r="W357" s="233"/>
      <c r="X357" s="233"/>
      <c r="Y357" s="120"/>
      <c r="Z357" s="96">
        <f>SUM(T357:X357)</f>
        <v>0</v>
      </c>
      <c r="AA357" s="97">
        <f>IF(C357=2011, Z357/3,Z357)+Y357</f>
        <v>0</v>
      </c>
      <c r="AB357" s="101"/>
      <c r="AC357" s="153"/>
      <c r="AD357" s="153"/>
      <c r="AE357" s="153"/>
      <c r="AF357" s="153"/>
      <c r="AG357" s="153"/>
      <c r="AH357" s="153"/>
      <c r="AJ357" s="95"/>
      <c r="AK357" s="96"/>
      <c r="AL357" s="97"/>
    </row>
    <row r="358" spans="1:57" x14ac:dyDescent="0.25">
      <c r="A358" s="45" t="s">
        <v>1077</v>
      </c>
      <c r="B358" s="66" t="s">
        <v>1006</v>
      </c>
      <c r="C358" s="46">
        <v>2011</v>
      </c>
      <c r="D358" s="1">
        <f t="shared" si="22"/>
        <v>9</v>
      </c>
      <c r="F358" s="219">
        <f>9</f>
        <v>9</v>
      </c>
      <c r="O358" s="219"/>
      <c r="P358" s="154"/>
      <c r="Q358" s="96"/>
      <c r="R358" s="97"/>
      <c r="U358" s="170"/>
      <c r="V358" s="170"/>
      <c r="W358" s="170"/>
      <c r="X358" s="170"/>
      <c r="Y358" s="120"/>
      <c r="Z358" s="96"/>
      <c r="AA358" s="97"/>
      <c r="AB358" s="101"/>
      <c r="AC358" s="153"/>
      <c r="AD358" s="153"/>
      <c r="AE358" s="153"/>
      <c r="AF358" s="153"/>
      <c r="AG358" s="153"/>
      <c r="AH358" s="153"/>
      <c r="AJ358" s="95"/>
      <c r="AK358" s="96"/>
      <c r="AL358" s="97"/>
    </row>
    <row r="359" spans="1:57" x14ac:dyDescent="0.25">
      <c r="A359" s="11" t="s">
        <v>1187</v>
      </c>
      <c r="B359" s="87" t="s">
        <v>87</v>
      </c>
      <c r="C359" s="3">
        <v>2010</v>
      </c>
      <c r="D359" s="1">
        <f t="shared" si="22"/>
        <v>12</v>
      </c>
      <c r="E359" s="233">
        <v>12</v>
      </c>
    </row>
    <row r="360" spans="1:57" x14ac:dyDescent="0.25">
      <c r="A360" s="11" t="s">
        <v>1163</v>
      </c>
      <c r="B360" s="60" t="s">
        <v>86</v>
      </c>
      <c r="C360" s="62">
        <v>2011</v>
      </c>
      <c r="D360" s="1">
        <f t="shared" si="22"/>
        <v>17</v>
      </c>
      <c r="E360" s="233">
        <f>17</f>
        <v>17</v>
      </c>
      <c r="I360" s="205"/>
      <c r="J360" s="196"/>
      <c r="K360" s="186"/>
      <c r="L360" s="170"/>
      <c r="M360" s="50"/>
      <c r="N360" s="50"/>
      <c r="O360" s="219"/>
      <c r="P360" s="120"/>
      <c r="Q360" s="96"/>
      <c r="R360" s="97"/>
      <c r="S360" s="22"/>
      <c r="T360" s="205"/>
      <c r="U360" s="50"/>
      <c r="V360" s="50"/>
      <c r="W360" s="50"/>
      <c r="X360" s="50"/>
      <c r="Y360" s="120"/>
      <c r="Z360" s="96"/>
      <c r="AA360" s="97"/>
      <c r="AB360" s="22"/>
      <c r="AC360" s="41"/>
      <c r="AD360" s="41"/>
      <c r="AE360" s="41"/>
      <c r="AF360" s="41"/>
      <c r="AG360" s="41"/>
      <c r="AH360" s="41"/>
      <c r="AJ360" s="95"/>
      <c r="AK360" s="96"/>
      <c r="AL360" s="97"/>
    </row>
    <row r="361" spans="1:57" x14ac:dyDescent="0.25">
      <c r="A361" s="45" t="s">
        <v>956</v>
      </c>
      <c r="B361" s="66" t="s">
        <v>63</v>
      </c>
      <c r="C361" s="46">
        <v>2012</v>
      </c>
      <c r="D361" s="1">
        <f t="shared" si="22"/>
        <v>3</v>
      </c>
      <c r="F361" s="233"/>
      <c r="G361" s="233"/>
      <c r="H361" s="233"/>
      <c r="I361" s="156">
        <f>0</f>
        <v>0</v>
      </c>
      <c r="J361" s="156">
        <f>9</f>
        <v>9</v>
      </c>
      <c r="O361" s="233">
        <f>AA361</f>
        <v>0</v>
      </c>
      <c r="P361" s="154"/>
      <c r="Q361" s="96">
        <f>I361+J361+K361+L361+M361+N361+O361</f>
        <v>9</v>
      </c>
      <c r="R361" s="97">
        <f>IF(C361=2012, Q361/3,Q361)+P361</f>
        <v>3</v>
      </c>
      <c r="U361" s="233"/>
      <c r="V361" s="233"/>
      <c r="W361" s="233"/>
      <c r="X361" s="233"/>
      <c r="Y361" s="120"/>
      <c r="Z361" s="96">
        <f>SUM(T361:X361)</f>
        <v>0</v>
      </c>
      <c r="AA361" s="97">
        <f>IF(C361=2011, Z361/3,Z361)+Y361</f>
        <v>0</v>
      </c>
      <c r="AB361" s="101"/>
      <c r="AC361" s="153"/>
      <c r="AD361" s="153"/>
      <c r="AE361" s="153"/>
      <c r="AF361" s="153"/>
      <c r="AG361" s="153"/>
      <c r="AH361" s="153"/>
      <c r="AJ361" s="95"/>
      <c r="AK361" s="96"/>
      <c r="AL361" s="97"/>
    </row>
    <row r="362" spans="1:57" s="17" customFormat="1" x14ac:dyDescent="0.25">
      <c r="A362" s="11" t="s">
        <v>989</v>
      </c>
      <c r="B362" s="60" t="s">
        <v>63</v>
      </c>
      <c r="C362" s="62">
        <v>2011</v>
      </c>
      <c r="D362" s="1">
        <f t="shared" si="22"/>
        <v>8</v>
      </c>
      <c r="E362" s="233"/>
      <c r="F362" s="219"/>
      <c r="G362" s="219"/>
      <c r="H362" s="219"/>
      <c r="I362" s="205">
        <f>6+1</f>
        <v>7</v>
      </c>
      <c r="J362" s="196">
        <f>0+1</f>
        <v>1</v>
      </c>
      <c r="K362" s="196"/>
      <c r="L362" s="196"/>
      <c r="M362" s="196"/>
      <c r="N362" s="196"/>
      <c r="O362" s="219">
        <f>AA362</f>
        <v>0</v>
      </c>
      <c r="P362" s="120"/>
      <c r="Q362" s="96">
        <f>I362+J362+K362+L362+M362+N362+O362</f>
        <v>8</v>
      </c>
      <c r="R362" s="97">
        <f>IF(C362=2012, Q362/3,Q362)+P362</f>
        <v>8</v>
      </c>
      <c r="S362" s="22"/>
      <c r="T362" s="233"/>
      <c r="U362" s="196"/>
      <c r="V362" s="196"/>
      <c r="W362" s="196"/>
      <c r="X362" s="196"/>
      <c r="Y362" s="120"/>
      <c r="Z362" s="96">
        <f>SUM(T362:X362)</f>
        <v>0</v>
      </c>
      <c r="AA362" s="97">
        <f>IF(C362=2011, Z362/3,Z362)+Y362</f>
        <v>0</v>
      </c>
      <c r="AB362" s="22"/>
      <c r="AC362" s="41"/>
      <c r="AD362" s="41"/>
      <c r="AE362" s="41"/>
      <c r="AF362" s="41"/>
      <c r="AG362" s="41"/>
      <c r="AH362" s="41"/>
      <c r="AI362" s="13"/>
      <c r="AJ362" s="95"/>
      <c r="AK362" s="96"/>
      <c r="AL362" s="97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</row>
    <row r="363" spans="1:57" s="17" customFormat="1" x14ac:dyDescent="0.25">
      <c r="A363" s="11" t="s">
        <v>1158</v>
      </c>
      <c r="B363" s="87" t="s">
        <v>87</v>
      </c>
      <c r="C363" s="3">
        <v>2010</v>
      </c>
      <c r="D363" s="1">
        <f t="shared" si="22"/>
        <v>39</v>
      </c>
      <c r="E363" s="233">
        <f>12+27</f>
        <v>39</v>
      </c>
      <c r="F363" s="219"/>
      <c r="G363" s="219"/>
      <c r="H363" s="219"/>
      <c r="I363" s="156"/>
      <c r="J363" s="156"/>
      <c r="K363" s="156"/>
      <c r="L363" s="156"/>
      <c r="M363" s="156"/>
      <c r="N363" s="156"/>
      <c r="O363" s="156"/>
      <c r="P363" s="13"/>
      <c r="Q363" s="3"/>
      <c r="R363" s="3"/>
      <c r="S363" s="13"/>
      <c r="T363" s="13"/>
      <c r="U363" s="13"/>
      <c r="V363" s="13"/>
      <c r="W363" s="13"/>
      <c r="X363" s="13"/>
      <c r="Y363" s="13"/>
      <c r="Z363" s="3"/>
      <c r="AA363" s="3"/>
      <c r="AB363" s="13"/>
      <c r="AC363" s="13"/>
      <c r="AD363" s="13"/>
      <c r="AE363" s="13"/>
      <c r="AF363" s="13"/>
      <c r="AG363" s="13"/>
      <c r="AH363" s="13"/>
      <c r="AI363" s="1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</row>
    <row r="364" spans="1:57" s="17" customFormat="1" x14ac:dyDescent="0.25">
      <c r="A364" s="11" t="s">
        <v>986</v>
      </c>
      <c r="B364" s="60" t="s">
        <v>63</v>
      </c>
      <c r="C364" s="62">
        <v>2011</v>
      </c>
      <c r="D364" s="1">
        <f t="shared" si="22"/>
        <v>6</v>
      </c>
      <c r="E364" s="233"/>
      <c r="F364" s="219"/>
      <c r="G364" s="219"/>
      <c r="H364" s="219"/>
      <c r="I364" s="219">
        <f>6</f>
        <v>6</v>
      </c>
      <c r="J364" s="219">
        <f>0</f>
        <v>0</v>
      </c>
      <c r="K364" s="219"/>
      <c r="L364" s="219"/>
      <c r="M364" s="219"/>
      <c r="N364" s="219"/>
      <c r="O364" s="219">
        <f>AA364</f>
        <v>0</v>
      </c>
      <c r="P364" s="120"/>
      <c r="Q364" s="96">
        <f>I364+J364+K364+L364+M364+N364+O364</f>
        <v>6</v>
      </c>
      <c r="R364" s="97">
        <f>IF(C364=2012, Q364/3,Q364)+P364</f>
        <v>6</v>
      </c>
      <c r="S364" s="22"/>
      <c r="T364" s="233"/>
      <c r="U364" s="219"/>
      <c r="V364" s="219"/>
      <c r="W364" s="219"/>
      <c r="X364" s="219"/>
      <c r="Y364" s="120"/>
      <c r="Z364" s="96">
        <f>SUM(T364:X364)</f>
        <v>0</v>
      </c>
      <c r="AA364" s="97">
        <f>IF(C364=2011, Z364/3,Z364)+Y364</f>
        <v>0</v>
      </c>
      <c r="AB364" s="22"/>
      <c r="AC364" s="41"/>
      <c r="AD364" s="41"/>
      <c r="AE364" s="41"/>
      <c r="AF364" s="41"/>
      <c r="AG364" s="41"/>
      <c r="AH364" s="41"/>
      <c r="AI364" s="13"/>
      <c r="AJ364" s="95"/>
      <c r="AK364" s="96"/>
      <c r="AL364" s="97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</row>
    <row r="365" spans="1:57" s="17" customFormat="1" x14ac:dyDescent="0.25">
      <c r="A365" s="11" t="s">
        <v>1001</v>
      </c>
      <c r="B365" s="11" t="s">
        <v>86</v>
      </c>
      <c r="C365" s="3">
        <v>2012</v>
      </c>
      <c r="D365" s="1">
        <f t="shared" si="22"/>
        <v>10.333333333333334</v>
      </c>
      <c r="E365" s="233"/>
      <c r="F365" s="219"/>
      <c r="G365" s="219"/>
      <c r="H365" s="219"/>
      <c r="I365" s="205">
        <f>31</f>
        <v>31</v>
      </c>
      <c r="J365" s="196"/>
      <c r="K365" s="186"/>
      <c r="L365" s="174"/>
      <c r="M365" s="174"/>
      <c r="N365" s="174"/>
      <c r="O365" s="219">
        <f>AA365</f>
        <v>0</v>
      </c>
      <c r="P365" s="154"/>
      <c r="Q365" s="96">
        <f>I365+J365+K365+L365+M365+N365+O365</f>
        <v>31</v>
      </c>
      <c r="R365" s="97">
        <f>IF(C365=2012, Q365/3,Q365)+P365</f>
        <v>10.333333333333334</v>
      </c>
      <c r="S365" s="13"/>
      <c r="T365" s="13"/>
      <c r="U365" s="174"/>
      <c r="V365" s="174"/>
      <c r="W365" s="174"/>
      <c r="X365" s="174"/>
      <c r="Y365" s="120"/>
      <c r="Z365" s="96">
        <f>SUM(T365:X365)</f>
        <v>0</v>
      </c>
      <c r="AA365" s="97">
        <f>IF(C365=2011, Z365/3,Z365)+Y365</f>
        <v>0</v>
      </c>
      <c r="AB365" s="22"/>
      <c r="AC365" s="233"/>
      <c r="AD365" s="233"/>
      <c r="AE365" s="233"/>
      <c r="AF365" s="233"/>
      <c r="AG365" s="233"/>
      <c r="AH365" s="233"/>
      <c r="AI365" s="36"/>
      <c r="AJ365" s="95"/>
      <c r="AK365" s="96"/>
      <c r="AL365" s="97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</row>
    <row r="366" spans="1:57" s="17" customFormat="1" x14ac:dyDescent="0.25">
      <c r="A366" s="11" t="s">
        <v>1011</v>
      </c>
      <c r="B366" s="11" t="s">
        <v>86</v>
      </c>
      <c r="C366" s="3">
        <v>2012</v>
      </c>
      <c r="D366" s="1">
        <f t="shared" si="22"/>
        <v>1</v>
      </c>
      <c r="E366" s="233">
        <f>0+1</f>
        <v>1</v>
      </c>
      <c r="F366" s="219"/>
      <c r="G366" s="219"/>
      <c r="H366" s="219"/>
      <c r="I366" s="205">
        <f>0</f>
        <v>0</v>
      </c>
      <c r="J366" s="196"/>
      <c r="K366" s="186"/>
      <c r="L366" s="186"/>
      <c r="M366" s="186"/>
      <c r="N366" s="186"/>
      <c r="O366" s="219">
        <f>AA366</f>
        <v>0</v>
      </c>
      <c r="P366" s="154"/>
      <c r="Q366" s="96">
        <f>I366+J366+K366+L366+M366+N366+O366</f>
        <v>0</v>
      </c>
      <c r="R366" s="97">
        <f>IF(C366=2012, Q366/3,Q366)+P366</f>
        <v>0</v>
      </c>
      <c r="S366" s="13"/>
      <c r="T366" s="13"/>
      <c r="U366" s="186"/>
      <c r="V366" s="186"/>
      <c r="W366" s="186"/>
      <c r="X366" s="186"/>
      <c r="Y366" s="120"/>
      <c r="Z366" s="96">
        <f>SUM(T366:X366)</f>
        <v>0</v>
      </c>
      <c r="AA366" s="97">
        <f>IF(C366=2011, Z366/3,Z366)+Y366</f>
        <v>0</v>
      </c>
      <c r="AB366" s="22"/>
      <c r="AC366" s="233"/>
      <c r="AD366" s="233"/>
      <c r="AE366" s="233"/>
      <c r="AF366" s="233"/>
      <c r="AG366" s="233"/>
      <c r="AH366" s="233"/>
      <c r="AI366" s="36"/>
      <c r="AJ366" s="95"/>
      <c r="AK366" s="96"/>
      <c r="AL366" s="97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</row>
    <row r="367" spans="1:57" s="17" customFormat="1" x14ac:dyDescent="0.25">
      <c r="A367" s="11" t="s">
        <v>1172</v>
      </c>
      <c r="B367" s="60" t="s">
        <v>86</v>
      </c>
      <c r="C367" s="62">
        <v>2011</v>
      </c>
      <c r="D367" s="1">
        <f t="shared" si="22"/>
        <v>0</v>
      </c>
      <c r="E367" s="233">
        <f>0</f>
        <v>0</v>
      </c>
      <c r="F367" s="233"/>
      <c r="G367" s="233"/>
      <c r="H367" s="233"/>
      <c r="I367" s="233"/>
      <c r="J367" s="233"/>
      <c r="K367" s="233"/>
      <c r="L367" s="233"/>
      <c r="M367" s="233"/>
      <c r="N367" s="233"/>
      <c r="O367" s="233"/>
      <c r="P367" s="120"/>
      <c r="Q367" s="96"/>
      <c r="R367" s="97"/>
      <c r="S367" s="22"/>
      <c r="T367" s="233"/>
      <c r="U367" s="233"/>
      <c r="V367" s="233"/>
      <c r="W367" s="233"/>
      <c r="X367" s="233"/>
      <c r="Y367" s="120"/>
      <c r="Z367" s="96"/>
      <c r="AA367" s="97"/>
      <c r="AB367" s="22"/>
      <c r="AC367" s="41"/>
      <c r="AD367" s="41"/>
      <c r="AE367" s="41"/>
      <c r="AF367" s="41"/>
      <c r="AG367" s="41"/>
      <c r="AH367" s="41"/>
      <c r="AI367" s="13"/>
      <c r="AJ367" s="95"/>
      <c r="AK367" s="96"/>
      <c r="AL367" s="97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</row>
    <row r="368" spans="1:57" s="17" customFormat="1" x14ac:dyDescent="0.25">
      <c r="A368" s="11" t="s">
        <v>1193</v>
      </c>
      <c r="B368" s="87" t="s">
        <v>87</v>
      </c>
      <c r="C368" s="3">
        <v>2009</v>
      </c>
      <c r="D368" s="1">
        <f t="shared" si="22"/>
        <v>0</v>
      </c>
      <c r="E368" s="233">
        <v>0</v>
      </c>
      <c r="F368" s="233"/>
      <c r="G368" s="233"/>
      <c r="H368" s="233"/>
      <c r="I368" s="156"/>
      <c r="J368" s="156"/>
      <c r="K368" s="156"/>
      <c r="L368" s="156"/>
      <c r="M368" s="156"/>
      <c r="N368" s="156"/>
      <c r="O368" s="156"/>
      <c r="P368" s="13"/>
      <c r="Q368" s="3"/>
      <c r="R368" s="3"/>
      <c r="S368" s="13"/>
      <c r="T368" s="13"/>
      <c r="U368" s="13"/>
      <c r="V368" s="13"/>
      <c r="W368" s="13"/>
      <c r="X368" s="13"/>
      <c r="Y368" s="13"/>
      <c r="Z368" s="3"/>
      <c r="AA368" s="3"/>
      <c r="AB368" s="13"/>
      <c r="AC368" s="13"/>
      <c r="AD368" s="13"/>
      <c r="AE368" s="13"/>
      <c r="AF368" s="13"/>
      <c r="AG368" s="13"/>
      <c r="AH368" s="13"/>
      <c r="AI368" s="1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</row>
    <row r="369" spans="1:57" s="17" customFormat="1" x14ac:dyDescent="0.25">
      <c r="A369" s="11" t="s">
        <v>1007</v>
      </c>
      <c r="B369" s="11" t="s">
        <v>86</v>
      </c>
      <c r="C369" s="3">
        <v>2012</v>
      </c>
      <c r="D369" s="1">
        <f t="shared" si="22"/>
        <v>22</v>
      </c>
      <c r="E369" s="233">
        <f>14+1</f>
        <v>15</v>
      </c>
      <c r="F369" s="219"/>
      <c r="G369" s="219"/>
      <c r="H369" s="219"/>
      <c r="I369" s="233">
        <f>21</f>
        <v>21</v>
      </c>
      <c r="J369" s="233"/>
      <c r="K369" s="233"/>
      <c r="L369" s="233"/>
      <c r="M369" s="233"/>
      <c r="N369" s="233"/>
      <c r="O369" s="233">
        <f>AA369</f>
        <v>0</v>
      </c>
      <c r="P369" s="154"/>
      <c r="Q369" s="96">
        <f>I369+J369+K369+L369+M369+N369+O369</f>
        <v>21</v>
      </c>
      <c r="R369" s="97">
        <f>IF(C369=2012, Q369/3,Q369)+P369</f>
        <v>7</v>
      </c>
      <c r="S369" s="13"/>
      <c r="T369" s="13"/>
      <c r="U369" s="233"/>
      <c r="V369" s="233"/>
      <c r="W369" s="233"/>
      <c r="X369" s="233"/>
      <c r="Y369" s="120"/>
      <c r="Z369" s="96">
        <f>SUM(T369:X369)</f>
        <v>0</v>
      </c>
      <c r="AA369" s="97">
        <f>IF(C369=2011, Z369/3,Z369)+Y369</f>
        <v>0</v>
      </c>
      <c r="AB369" s="22"/>
      <c r="AC369" s="233"/>
      <c r="AD369" s="233"/>
      <c r="AE369" s="233"/>
      <c r="AF369" s="233"/>
      <c r="AG369" s="233"/>
      <c r="AH369" s="233"/>
      <c r="AI369" s="36"/>
      <c r="AJ369" s="95"/>
      <c r="AK369" s="96"/>
      <c r="AL369" s="97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</row>
    <row r="370" spans="1:57" x14ac:dyDescent="0.25">
      <c r="A370" s="11" t="s">
        <v>985</v>
      </c>
      <c r="B370" s="60" t="s">
        <v>948</v>
      </c>
      <c r="C370" s="62">
        <v>2010</v>
      </c>
      <c r="D370" s="1">
        <f t="shared" si="22"/>
        <v>6</v>
      </c>
      <c r="I370" s="205"/>
      <c r="J370" s="196">
        <f>6</f>
        <v>6</v>
      </c>
      <c r="K370" s="186"/>
      <c r="L370" s="170"/>
      <c r="M370" s="170"/>
      <c r="N370" s="170"/>
      <c r="O370" s="219">
        <f>AA370</f>
        <v>0</v>
      </c>
      <c r="P370" s="120"/>
      <c r="Q370" s="96">
        <f>I370+J370+K370+L370+M370+N370+O370</f>
        <v>6</v>
      </c>
      <c r="R370" s="97">
        <f>IF(C370=2012, Q370/3,Q370)+P370</f>
        <v>6</v>
      </c>
      <c r="S370" s="22"/>
      <c r="T370" s="170"/>
      <c r="U370" s="170"/>
      <c r="V370" s="170"/>
      <c r="W370" s="170"/>
      <c r="X370" s="170"/>
      <c r="Y370" s="120"/>
      <c r="Z370" s="96">
        <f>SUM(T370:X370)</f>
        <v>0</v>
      </c>
      <c r="AA370" s="97">
        <f>IF(C370=2011, Z370/3,Z370)+Y370</f>
        <v>0</v>
      </c>
      <c r="AB370" s="22"/>
      <c r="AC370" s="41"/>
      <c r="AD370" s="41"/>
      <c r="AE370" s="41"/>
      <c r="AF370" s="41"/>
      <c r="AG370" s="41"/>
      <c r="AH370" s="41"/>
      <c r="AJ370" s="95"/>
      <c r="AK370" s="96"/>
      <c r="AL370" s="97"/>
    </row>
    <row r="371" spans="1:57" x14ac:dyDescent="0.25">
      <c r="A371" s="11" t="s">
        <v>1156</v>
      </c>
      <c r="B371" s="87" t="s">
        <v>87</v>
      </c>
      <c r="C371" s="3">
        <v>2011</v>
      </c>
      <c r="D371" s="1">
        <f t="shared" si="22"/>
        <v>0</v>
      </c>
      <c r="E371" s="233">
        <f>0</f>
        <v>0</v>
      </c>
    </row>
    <row r="372" spans="1:57" x14ac:dyDescent="0.25">
      <c r="A372" s="11" t="s">
        <v>1078</v>
      </c>
      <c r="B372" s="60" t="s">
        <v>7</v>
      </c>
      <c r="C372" s="62">
        <v>2011</v>
      </c>
      <c r="D372" s="1">
        <f t="shared" si="22"/>
        <v>5</v>
      </c>
      <c r="E372" s="233">
        <f>0+5</f>
        <v>5</v>
      </c>
      <c r="F372" s="219">
        <f>0</f>
        <v>0</v>
      </c>
      <c r="I372" s="205"/>
      <c r="J372" s="196"/>
      <c r="K372" s="186"/>
      <c r="L372" s="170"/>
      <c r="M372" s="50"/>
      <c r="N372" s="50"/>
      <c r="O372" s="219"/>
      <c r="P372" s="120"/>
      <c r="Q372" s="96"/>
      <c r="R372" s="97"/>
      <c r="S372" s="22"/>
      <c r="T372" s="50"/>
      <c r="U372" s="50"/>
      <c r="V372" s="50"/>
      <c r="W372" s="50"/>
      <c r="X372" s="50"/>
      <c r="Y372" s="120"/>
      <c r="Z372" s="96"/>
      <c r="AA372" s="97"/>
      <c r="AB372" s="22"/>
      <c r="AC372" s="41"/>
      <c r="AD372" s="41"/>
      <c r="AE372" s="41"/>
      <c r="AF372" s="41"/>
      <c r="AG372" s="41"/>
      <c r="AH372" s="41"/>
      <c r="AJ372" s="95"/>
      <c r="AK372" s="96"/>
      <c r="AL372" s="97"/>
    </row>
    <row r="373" spans="1:57" x14ac:dyDescent="0.25">
      <c r="A373" s="11" t="s">
        <v>1181</v>
      </c>
      <c r="B373" s="87" t="s">
        <v>87</v>
      </c>
      <c r="C373" s="3">
        <v>2012</v>
      </c>
      <c r="D373" s="1">
        <f t="shared" si="22"/>
        <v>0</v>
      </c>
      <c r="E373" s="233">
        <f>0</f>
        <v>0</v>
      </c>
      <c r="F373" s="233"/>
      <c r="G373" s="233"/>
      <c r="H373" s="233"/>
    </row>
    <row r="374" spans="1:57" x14ac:dyDescent="0.25">
      <c r="A374" s="11" t="s">
        <v>1060</v>
      </c>
      <c r="B374" s="60" t="s">
        <v>86</v>
      </c>
      <c r="C374" s="62">
        <v>2012</v>
      </c>
      <c r="D374" s="1">
        <f t="shared" si="22"/>
        <v>6</v>
      </c>
      <c r="E374" s="233">
        <f>6</f>
        <v>6</v>
      </c>
      <c r="I374" s="233">
        <f>0</f>
        <v>0</v>
      </c>
      <c r="J374" s="233"/>
      <c r="K374" s="233"/>
      <c r="L374" s="233"/>
      <c r="M374" s="233"/>
      <c r="N374" s="233"/>
      <c r="O374" s="233">
        <f>AA374</f>
        <v>0</v>
      </c>
      <c r="P374" s="120"/>
      <c r="Q374" s="96">
        <f>I374+J374+K374+L374+M374+N374+O374</f>
        <v>0</v>
      </c>
      <c r="R374" s="97">
        <f>IF(C374=2012, Q374/3,Q374)+P374</f>
        <v>0</v>
      </c>
      <c r="S374" s="22"/>
      <c r="T374" s="233"/>
      <c r="U374" s="233"/>
      <c r="V374" s="233"/>
      <c r="W374" s="233"/>
      <c r="X374" s="233"/>
      <c r="Y374" s="120"/>
      <c r="Z374" s="96">
        <f>SUM(T374:X374)</f>
        <v>0</v>
      </c>
      <c r="AA374" s="97">
        <f>IF(C374=2011, Z374/3,Z374)+Y374</f>
        <v>0</v>
      </c>
      <c r="AB374" s="22"/>
      <c r="AC374" s="41"/>
      <c r="AD374" s="41"/>
      <c r="AE374" s="41"/>
      <c r="AF374" s="41"/>
      <c r="AG374" s="41"/>
      <c r="AH374" s="41"/>
      <c r="AJ374" s="95"/>
      <c r="AK374" s="96"/>
      <c r="AL374" s="97"/>
    </row>
    <row r="375" spans="1:57" x14ac:dyDescent="0.25">
      <c r="A375" s="11" t="s">
        <v>1212</v>
      </c>
      <c r="B375" s="87" t="s">
        <v>87</v>
      </c>
      <c r="C375" s="3">
        <v>2011</v>
      </c>
      <c r="D375" s="1">
        <f>R375+F375+E375+G375</f>
        <v>24</v>
      </c>
      <c r="E375" s="233">
        <f>0</f>
        <v>0</v>
      </c>
      <c r="F375" s="233"/>
      <c r="G375" s="233">
        <f>24</f>
        <v>24</v>
      </c>
      <c r="H375" s="233"/>
    </row>
    <row r="376" spans="1:57" x14ac:dyDescent="0.25">
      <c r="A376" s="11" t="s">
        <v>1013</v>
      </c>
      <c r="B376" s="60" t="s">
        <v>86</v>
      </c>
      <c r="C376" s="62">
        <v>2012</v>
      </c>
      <c r="D376" s="1">
        <f t="shared" ref="D376:D386" si="23">R376+F376+E376</f>
        <v>4</v>
      </c>
      <c r="E376" s="233">
        <f>0+4</f>
        <v>4</v>
      </c>
      <c r="I376" s="205">
        <f>0</f>
        <v>0</v>
      </c>
      <c r="J376" s="196"/>
      <c r="K376" s="186"/>
      <c r="L376" s="174"/>
      <c r="M376" s="174"/>
      <c r="N376" s="174"/>
      <c r="O376" s="219">
        <f>AA376</f>
        <v>0</v>
      </c>
      <c r="P376" s="154"/>
      <c r="Q376" s="96">
        <f>I376+J376+K376+L376+M376+N376+O376</f>
        <v>0</v>
      </c>
      <c r="R376" s="97">
        <f>IF(C376=2012, Q376/3,Q376)+P376</f>
        <v>0</v>
      </c>
      <c r="U376" s="174"/>
      <c r="V376" s="174"/>
      <c r="W376" s="174"/>
      <c r="X376" s="174"/>
      <c r="Y376" s="120"/>
      <c r="Z376" s="96">
        <f>SUM(T376:X376)</f>
        <v>0</v>
      </c>
      <c r="AA376" s="97">
        <f>IF(C376=2011, Z376/3,Z376)+Y376</f>
        <v>0</v>
      </c>
      <c r="AB376" s="22"/>
      <c r="AC376" s="153"/>
      <c r="AD376" s="153"/>
      <c r="AE376" s="153"/>
      <c r="AF376" s="153"/>
      <c r="AG376" s="153"/>
      <c r="AH376" s="153"/>
      <c r="AJ376" s="95"/>
      <c r="AK376" s="96"/>
      <c r="AL376" s="97"/>
    </row>
    <row r="377" spans="1:57" x14ac:dyDescent="0.25">
      <c r="A377" s="11" t="s">
        <v>1184</v>
      </c>
      <c r="B377" s="87" t="s">
        <v>87</v>
      </c>
      <c r="C377" s="3">
        <v>2010</v>
      </c>
      <c r="D377" s="1">
        <f t="shared" si="23"/>
        <v>21</v>
      </c>
      <c r="E377" s="233">
        <v>21</v>
      </c>
    </row>
    <row r="378" spans="1:57" x14ac:dyDescent="0.25">
      <c r="A378" s="11" t="s">
        <v>1189</v>
      </c>
      <c r="B378" s="87" t="s">
        <v>87</v>
      </c>
      <c r="C378" s="3">
        <v>2009</v>
      </c>
      <c r="D378" s="1">
        <f t="shared" si="23"/>
        <v>12</v>
      </c>
      <c r="E378" s="233">
        <f>12</f>
        <v>12</v>
      </c>
    </row>
    <row r="379" spans="1:57" x14ac:dyDescent="0.25">
      <c r="A379" s="60" t="s">
        <v>1161</v>
      </c>
      <c r="B379" s="65" t="s">
        <v>702</v>
      </c>
      <c r="C379" s="62">
        <v>2009</v>
      </c>
      <c r="D379" s="1">
        <f t="shared" si="23"/>
        <v>21</v>
      </c>
      <c r="E379" s="233">
        <f>21</f>
        <v>21</v>
      </c>
      <c r="I379" s="233"/>
      <c r="J379" s="233"/>
      <c r="K379" s="233"/>
      <c r="L379" s="233"/>
      <c r="M379" s="233"/>
      <c r="N379" s="233"/>
      <c r="O379" s="233"/>
      <c r="P379" s="120"/>
      <c r="Q379" s="96"/>
      <c r="R379" s="97"/>
      <c r="S379" s="22"/>
      <c r="T379" s="233"/>
      <c r="U379" s="233"/>
      <c r="V379" s="233"/>
      <c r="W379" s="233"/>
      <c r="X379" s="233"/>
      <c r="Y379" s="120"/>
      <c r="Z379" s="96"/>
      <c r="AA379" s="97"/>
      <c r="AB379" s="22"/>
      <c r="AJ379" s="95"/>
      <c r="AK379" s="96"/>
      <c r="AL379" s="97"/>
    </row>
    <row r="380" spans="1:57" x14ac:dyDescent="0.25">
      <c r="A380" s="11" t="s">
        <v>1194</v>
      </c>
      <c r="B380" s="87" t="s">
        <v>87</v>
      </c>
      <c r="C380" s="3">
        <v>2009</v>
      </c>
      <c r="D380" s="1">
        <f t="shared" si="23"/>
        <v>0</v>
      </c>
      <c r="E380" s="233">
        <v>0</v>
      </c>
      <c r="F380" s="233"/>
      <c r="G380" s="233"/>
      <c r="H380" s="233"/>
    </row>
    <row r="381" spans="1:57" x14ac:dyDescent="0.25">
      <c r="A381" s="11" t="s">
        <v>1186</v>
      </c>
      <c r="B381" s="87" t="s">
        <v>87</v>
      </c>
      <c r="C381" s="3">
        <v>2011</v>
      </c>
      <c r="D381" s="1">
        <f t="shared" si="23"/>
        <v>18</v>
      </c>
      <c r="E381" s="233">
        <v>18</v>
      </c>
    </row>
    <row r="382" spans="1:57" x14ac:dyDescent="0.25">
      <c r="A382" s="11" t="s">
        <v>1185</v>
      </c>
      <c r="B382" s="87" t="s">
        <v>87</v>
      </c>
      <c r="C382" s="3">
        <v>2009</v>
      </c>
      <c r="D382" s="1">
        <f t="shared" si="23"/>
        <v>18</v>
      </c>
      <c r="E382" s="233">
        <v>18</v>
      </c>
    </row>
    <row r="383" spans="1:57" x14ac:dyDescent="0.25">
      <c r="A383" s="60" t="s">
        <v>1164</v>
      </c>
      <c r="B383" s="65" t="s">
        <v>86</v>
      </c>
      <c r="C383" s="62">
        <v>2011</v>
      </c>
      <c r="D383" s="1">
        <f t="shared" si="23"/>
        <v>14</v>
      </c>
      <c r="E383" s="233">
        <f>14</f>
        <v>14</v>
      </c>
      <c r="I383" s="233"/>
      <c r="J383" s="233"/>
      <c r="K383" s="233"/>
      <c r="L383" s="233"/>
      <c r="M383" s="233"/>
      <c r="N383" s="233"/>
      <c r="O383" s="233"/>
      <c r="P383" s="120"/>
      <c r="Q383" s="96"/>
      <c r="R383" s="97"/>
      <c r="S383" s="22"/>
      <c r="T383" s="233"/>
      <c r="U383" s="233"/>
      <c r="V383" s="233"/>
      <c r="W383" s="233"/>
      <c r="X383" s="233"/>
      <c r="Y383" s="120"/>
      <c r="Z383" s="96"/>
      <c r="AA383" s="97"/>
      <c r="AB383" s="22"/>
      <c r="AJ383" s="95"/>
      <c r="AK383" s="96"/>
      <c r="AL383" s="97"/>
    </row>
    <row r="384" spans="1:57" x14ac:dyDescent="0.25">
      <c r="A384" s="11" t="s">
        <v>979</v>
      </c>
      <c r="B384" s="71" t="s">
        <v>63</v>
      </c>
      <c r="C384" s="62">
        <v>2011</v>
      </c>
      <c r="D384" s="1">
        <f t="shared" si="23"/>
        <v>33</v>
      </c>
      <c r="I384" s="233">
        <f>18+2</f>
        <v>20</v>
      </c>
      <c r="J384" s="233">
        <f>13</f>
        <v>13</v>
      </c>
      <c r="K384" s="233"/>
      <c r="L384" s="233"/>
      <c r="M384" s="233"/>
      <c r="N384" s="233"/>
      <c r="O384" s="233">
        <f>AA384</f>
        <v>0</v>
      </c>
      <c r="P384" s="120"/>
      <c r="Q384" s="96">
        <f>I384+J384+K384+L384+M384+N384+O384</f>
        <v>33</v>
      </c>
      <c r="R384" s="97">
        <f>IF(C384=2012, Q384/3,Q384)+P384</f>
        <v>33</v>
      </c>
      <c r="S384" s="22"/>
      <c r="T384" s="233"/>
      <c r="U384" s="233"/>
      <c r="V384" s="233"/>
      <c r="W384" s="233"/>
      <c r="X384" s="233"/>
      <c r="Y384" s="120"/>
      <c r="Z384" s="96">
        <f>SUM(T384:X384)</f>
        <v>0</v>
      </c>
      <c r="AA384" s="97">
        <f>IF(C384=2011, Z384/3,Z384)+Y384</f>
        <v>0</v>
      </c>
      <c r="AB384" s="22"/>
      <c r="AC384" s="233"/>
      <c r="AD384" s="233"/>
      <c r="AE384" s="233"/>
      <c r="AF384" s="233"/>
      <c r="AG384" s="233"/>
      <c r="AH384" s="233"/>
      <c r="AI384" s="36"/>
      <c r="AJ384" s="95"/>
      <c r="AK384" s="96"/>
      <c r="AL384" s="97"/>
    </row>
    <row r="385" spans="1:38" x14ac:dyDescent="0.25">
      <c r="A385" s="11" t="s">
        <v>1195</v>
      </c>
      <c r="B385" s="87" t="s">
        <v>87</v>
      </c>
      <c r="C385" s="3">
        <v>2010</v>
      </c>
      <c r="D385" s="1">
        <f t="shared" si="23"/>
        <v>0</v>
      </c>
      <c r="E385" s="233">
        <v>0</v>
      </c>
      <c r="F385" s="233"/>
      <c r="G385" s="233"/>
      <c r="H385" s="233"/>
    </row>
    <row r="386" spans="1:38" x14ac:dyDescent="0.25">
      <c r="A386" s="11" t="s">
        <v>1155</v>
      </c>
      <c r="B386" s="87" t="s">
        <v>87</v>
      </c>
      <c r="C386" s="3">
        <v>2011</v>
      </c>
      <c r="D386" s="1">
        <f t="shared" si="23"/>
        <v>45</v>
      </c>
      <c r="E386" s="233">
        <f>18+27</f>
        <v>45</v>
      </c>
    </row>
    <row r="387" spans="1:38" x14ac:dyDescent="0.25">
      <c r="A387" s="12" t="s">
        <v>1220</v>
      </c>
      <c r="B387" s="4" t="s">
        <v>87</v>
      </c>
      <c r="C387" s="4">
        <v>2011</v>
      </c>
      <c r="D387" s="1">
        <f>R387+F387+E387+G387</f>
        <v>0</v>
      </c>
      <c r="E387" s="233">
        <f>0</f>
        <v>0</v>
      </c>
    </row>
    <row r="388" spans="1:38" x14ac:dyDescent="0.25">
      <c r="A388" s="11" t="s">
        <v>1191</v>
      </c>
      <c r="B388" s="87" t="s">
        <v>87</v>
      </c>
      <c r="C388" s="3">
        <v>2010</v>
      </c>
      <c r="D388" s="1">
        <f t="shared" ref="D388:D403" si="24">R388+F388+E388</f>
        <v>0</v>
      </c>
      <c r="E388" s="233">
        <f>0</f>
        <v>0</v>
      </c>
    </row>
    <row r="389" spans="1:38" x14ac:dyDescent="0.25">
      <c r="A389" s="11" t="s">
        <v>1192</v>
      </c>
      <c r="B389" s="87" t="s">
        <v>87</v>
      </c>
      <c r="C389" s="3">
        <v>2010</v>
      </c>
      <c r="D389" s="1">
        <f t="shared" si="24"/>
        <v>0</v>
      </c>
      <c r="E389" s="233">
        <f>0</f>
        <v>0</v>
      </c>
    </row>
    <row r="390" spans="1:38" x14ac:dyDescent="0.25">
      <c r="A390" s="11" t="s">
        <v>1063</v>
      </c>
      <c r="B390" s="71" t="s">
        <v>86</v>
      </c>
      <c r="C390" s="62">
        <v>2011</v>
      </c>
      <c r="D390" s="1">
        <f t="shared" si="24"/>
        <v>18</v>
      </c>
      <c r="I390" s="205">
        <f>18</f>
        <v>18</v>
      </c>
      <c r="J390" s="196"/>
      <c r="K390" s="186"/>
      <c r="L390" s="170"/>
      <c r="M390" s="50"/>
      <c r="N390" s="50"/>
      <c r="O390" s="219">
        <f>AA390</f>
        <v>0</v>
      </c>
      <c r="P390" s="120"/>
      <c r="Q390" s="96">
        <f>I390+J390+K390+L390+M390+N390+O390</f>
        <v>18</v>
      </c>
      <c r="R390" s="97">
        <f>IF(C390=2012, Q390/3,Q390)+P390</f>
        <v>18</v>
      </c>
      <c r="S390" s="22"/>
      <c r="T390" s="233"/>
      <c r="U390" s="50"/>
      <c r="V390" s="50"/>
      <c r="W390" s="50"/>
      <c r="X390" s="50"/>
      <c r="Y390" s="120"/>
      <c r="Z390" s="96">
        <f>SUM(T390:X390)</f>
        <v>0</v>
      </c>
      <c r="AA390" s="97">
        <f>IF(C390=2011, Z390/3,Z390)+Y390</f>
        <v>0</v>
      </c>
      <c r="AB390" s="22"/>
      <c r="AC390" s="233"/>
      <c r="AD390" s="233"/>
      <c r="AE390" s="233"/>
      <c r="AF390" s="233"/>
      <c r="AG390" s="233"/>
      <c r="AH390" s="233"/>
      <c r="AI390" s="36"/>
      <c r="AJ390" s="95"/>
      <c r="AK390" s="96"/>
      <c r="AL390" s="97"/>
    </row>
    <row r="391" spans="1:38" x14ac:dyDescent="0.25">
      <c r="A391" s="11" t="s">
        <v>1053</v>
      </c>
      <c r="B391" s="71" t="s">
        <v>86</v>
      </c>
      <c r="C391" s="62">
        <v>2010</v>
      </c>
      <c r="D391" s="1">
        <f t="shared" si="24"/>
        <v>28</v>
      </c>
      <c r="E391" s="233">
        <f>17</f>
        <v>17</v>
      </c>
      <c r="I391" s="205">
        <f>11</f>
        <v>11</v>
      </c>
      <c r="J391" s="196"/>
      <c r="K391" s="186"/>
      <c r="L391" s="174"/>
      <c r="M391" s="174"/>
      <c r="N391" s="174"/>
      <c r="O391" s="219">
        <f>AA391</f>
        <v>0</v>
      </c>
      <c r="P391" s="120"/>
      <c r="Q391" s="96">
        <f>I391+J391+K391+L391+M391+N391+O391</f>
        <v>11</v>
      </c>
      <c r="R391" s="97">
        <f>IF(C391=2012, Q391/3,Q391)+P391</f>
        <v>11</v>
      </c>
      <c r="S391" s="22"/>
      <c r="T391" s="174"/>
      <c r="U391" s="174"/>
      <c r="V391" s="174"/>
      <c r="W391" s="174"/>
      <c r="X391" s="174"/>
      <c r="Y391" s="120"/>
      <c r="Z391" s="96">
        <f>SUM(T391:X391)</f>
        <v>0</v>
      </c>
      <c r="AA391" s="97">
        <f>IF(C391=2011, Z391/3,Z391)+Y391</f>
        <v>0</v>
      </c>
      <c r="AB391" s="22"/>
      <c r="AC391" s="233"/>
      <c r="AD391" s="233"/>
      <c r="AE391" s="233"/>
      <c r="AF391" s="233"/>
      <c r="AG391" s="233"/>
      <c r="AH391" s="233"/>
      <c r="AI391" s="36"/>
      <c r="AJ391" s="95"/>
      <c r="AK391" s="96"/>
      <c r="AL391" s="97"/>
    </row>
    <row r="392" spans="1:38" x14ac:dyDescent="0.25">
      <c r="A392" s="11" t="s">
        <v>983</v>
      </c>
      <c r="B392" s="71" t="s">
        <v>63</v>
      </c>
      <c r="C392" s="62">
        <v>2011</v>
      </c>
      <c r="D392" s="1">
        <f t="shared" si="24"/>
        <v>8</v>
      </c>
      <c r="I392" s="205">
        <f>0+2</f>
        <v>2</v>
      </c>
      <c r="J392" s="196">
        <f>6</f>
        <v>6</v>
      </c>
      <c r="K392" s="196"/>
      <c r="L392" s="196"/>
      <c r="M392" s="196"/>
      <c r="N392" s="196"/>
      <c r="O392" s="219">
        <f>AA392</f>
        <v>0</v>
      </c>
      <c r="P392" s="120"/>
      <c r="Q392" s="96">
        <f>I392+J392+K392+L392+M392+N392+O392</f>
        <v>8</v>
      </c>
      <c r="R392" s="97">
        <f>IF(C392=2012, Q392/3,Q392)+P392</f>
        <v>8</v>
      </c>
      <c r="S392" s="22"/>
      <c r="T392" s="196"/>
      <c r="U392" s="196"/>
      <c r="V392" s="196"/>
      <c r="W392" s="196"/>
      <c r="X392" s="196"/>
      <c r="Y392" s="120"/>
      <c r="Z392" s="96">
        <f>SUM(T392:X392)</f>
        <v>0</v>
      </c>
      <c r="AA392" s="97">
        <f>IF(C392=2011, Z392/3,Z392)+Y392</f>
        <v>0</v>
      </c>
      <c r="AB392" s="22"/>
      <c r="AC392" s="233"/>
      <c r="AD392" s="233"/>
      <c r="AE392" s="233"/>
      <c r="AF392" s="233"/>
      <c r="AG392" s="233"/>
      <c r="AH392" s="233"/>
      <c r="AI392" s="36"/>
      <c r="AJ392" s="95"/>
      <c r="AK392" s="96"/>
      <c r="AL392" s="97"/>
    </row>
    <row r="393" spans="1:38" x14ac:dyDescent="0.25">
      <c r="A393" s="11" t="s">
        <v>1167</v>
      </c>
      <c r="B393" s="71" t="s">
        <v>86</v>
      </c>
      <c r="C393" s="62">
        <v>2012</v>
      </c>
      <c r="D393" s="1">
        <f t="shared" si="24"/>
        <v>8</v>
      </c>
      <c r="E393" s="233">
        <f>8</f>
        <v>8</v>
      </c>
      <c r="I393" s="205"/>
      <c r="J393" s="196"/>
      <c r="K393" s="196"/>
      <c r="L393" s="196"/>
      <c r="M393" s="196"/>
      <c r="N393" s="196"/>
      <c r="O393" s="219"/>
      <c r="P393" s="120"/>
      <c r="Q393" s="96"/>
      <c r="R393" s="97"/>
      <c r="S393" s="22"/>
      <c r="T393" s="196"/>
      <c r="U393" s="196"/>
      <c r="V393" s="196"/>
      <c r="W393" s="196"/>
      <c r="X393" s="196"/>
      <c r="Y393" s="120"/>
      <c r="Z393" s="96"/>
      <c r="AA393" s="97"/>
      <c r="AB393" s="22"/>
      <c r="AC393" s="233"/>
      <c r="AD393" s="233"/>
      <c r="AE393" s="233"/>
      <c r="AF393" s="233"/>
      <c r="AG393" s="233"/>
      <c r="AH393" s="233"/>
      <c r="AI393" s="36"/>
      <c r="AJ393" s="95"/>
      <c r="AK393" s="96"/>
      <c r="AL393" s="97"/>
    </row>
    <row r="394" spans="1:38" ht="14.25" customHeight="1" x14ac:dyDescent="0.25">
      <c r="A394" s="11" t="s">
        <v>982</v>
      </c>
      <c r="B394" s="60" t="s">
        <v>63</v>
      </c>
      <c r="C394" s="62">
        <v>2010</v>
      </c>
      <c r="D394" s="1">
        <f t="shared" si="24"/>
        <v>22</v>
      </c>
      <c r="I394" s="205">
        <f>11</f>
        <v>11</v>
      </c>
      <c r="J394" s="196">
        <f>9</f>
        <v>9</v>
      </c>
      <c r="K394" s="196">
        <f>2</f>
        <v>2</v>
      </c>
      <c r="L394" s="196"/>
      <c r="M394" s="196"/>
      <c r="N394" s="196"/>
      <c r="O394" s="219">
        <f>AA394</f>
        <v>0</v>
      </c>
      <c r="P394" s="120"/>
      <c r="Q394" s="96">
        <f>I394+J394+K394+L394+M394+N394+O394</f>
        <v>22</v>
      </c>
      <c r="R394" s="97">
        <f>IF(C394=2012, Q394/3,Q394)+P394</f>
        <v>22</v>
      </c>
      <c r="S394" s="22"/>
      <c r="T394" s="196"/>
      <c r="U394" s="196"/>
      <c r="V394" s="196"/>
      <c r="W394" s="196"/>
      <c r="X394" s="196"/>
      <c r="Y394" s="120"/>
      <c r="Z394" s="96">
        <f>SUM(T394:X394)</f>
        <v>0</v>
      </c>
      <c r="AA394" s="97">
        <f>IF(C394=2011, Z394/3,Z394)+Y394</f>
        <v>0</v>
      </c>
      <c r="AB394" s="22"/>
      <c r="AC394" s="41"/>
      <c r="AD394" s="41"/>
      <c r="AE394" s="41"/>
      <c r="AF394" s="41"/>
      <c r="AG394" s="41"/>
      <c r="AH394" s="41"/>
      <c r="AJ394" s="95"/>
      <c r="AK394" s="96"/>
      <c r="AL394" s="97"/>
    </row>
    <row r="395" spans="1:38" ht="14.25" customHeight="1" x14ac:dyDescent="0.25">
      <c r="A395" s="11" t="s">
        <v>1169</v>
      </c>
      <c r="B395" s="60" t="s">
        <v>86</v>
      </c>
      <c r="C395" s="62">
        <v>2009</v>
      </c>
      <c r="D395" s="1">
        <f t="shared" si="24"/>
        <v>8</v>
      </c>
      <c r="E395" s="233">
        <f>8</f>
        <v>8</v>
      </c>
      <c r="I395" s="219"/>
      <c r="J395" s="219"/>
      <c r="K395" s="219"/>
      <c r="L395" s="219"/>
      <c r="M395" s="219"/>
      <c r="N395" s="219"/>
      <c r="O395" s="219"/>
      <c r="P395" s="120"/>
      <c r="Q395" s="96"/>
      <c r="R395" s="97"/>
      <c r="S395" s="22"/>
      <c r="T395" s="233"/>
      <c r="U395" s="219"/>
      <c r="V395" s="219"/>
      <c r="W395" s="219"/>
      <c r="X395" s="219"/>
      <c r="Y395" s="120"/>
      <c r="Z395" s="96"/>
      <c r="AA395" s="97"/>
      <c r="AB395" s="22"/>
      <c r="AC395" s="41"/>
      <c r="AD395" s="41"/>
      <c r="AE395" s="41"/>
      <c r="AF395" s="41"/>
      <c r="AG395" s="41"/>
      <c r="AH395" s="41"/>
      <c r="AJ395" s="95"/>
      <c r="AK395" s="96"/>
      <c r="AL395" s="97"/>
    </row>
    <row r="396" spans="1:38" x14ac:dyDescent="0.25">
      <c r="A396" s="60" t="s">
        <v>990</v>
      </c>
      <c r="B396" s="65" t="s">
        <v>948</v>
      </c>
      <c r="C396" s="62">
        <v>2010</v>
      </c>
      <c r="D396" s="1">
        <f t="shared" si="24"/>
        <v>2</v>
      </c>
      <c r="I396" s="233"/>
      <c r="J396" s="233">
        <f>0+2</f>
        <v>2</v>
      </c>
      <c r="K396" s="233"/>
      <c r="L396" s="233"/>
      <c r="M396" s="233"/>
      <c r="N396" s="233"/>
      <c r="O396" s="233">
        <f>AA396</f>
        <v>0</v>
      </c>
      <c r="P396" s="120"/>
      <c r="Q396" s="96">
        <f>I396+J396+K396+L396+M396+N396+O396</f>
        <v>2</v>
      </c>
      <c r="R396" s="97">
        <f>IF(C396=2012, Q396/3,Q396)+P396</f>
        <v>2</v>
      </c>
      <c r="S396" s="22"/>
      <c r="T396" s="233"/>
      <c r="U396" s="233"/>
      <c r="V396" s="233"/>
      <c r="W396" s="233"/>
      <c r="X396" s="233"/>
      <c r="Y396" s="120"/>
      <c r="Z396" s="96">
        <f>SUM(T396:X396)</f>
        <v>0</v>
      </c>
      <c r="AA396" s="97">
        <f>IF(C396=2011, Z396/3,Z396)+Y396</f>
        <v>0</v>
      </c>
      <c r="AB396" s="22"/>
      <c r="AJ396" s="95"/>
      <c r="AK396" s="96"/>
      <c r="AL396" s="97"/>
    </row>
    <row r="397" spans="1:38" x14ac:dyDescent="0.25">
      <c r="A397" s="60" t="s">
        <v>988</v>
      </c>
      <c r="B397" s="65" t="s">
        <v>63</v>
      </c>
      <c r="C397" s="62">
        <v>2010</v>
      </c>
      <c r="D397" s="1">
        <f t="shared" si="24"/>
        <v>0</v>
      </c>
      <c r="I397" s="219">
        <f>0</f>
        <v>0</v>
      </c>
      <c r="J397" s="219">
        <f>0</f>
        <v>0</v>
      </c>
      <c r="K397" s="219"/>
      <c r="L397" s="219"/>
      <c r="M397" s="219"/>
      <c r="N397" s="219"/>
      <c r="O397" s="219">
        <f>AA397</f>
        <v>0</v>
      </c>
      <c r="P397" s="120"/>
      <c r="Q397" s="96">
        <f>I397+J397+K397+L397+M397+N397+O397</f>
        <v>0</v>
      </c>
      <c r="R397" s="97">
        <f>IF(C397=2012, Q397/3,Q397)+P397</f>
        <v>0</v>
      </c>
      <c r="S397" s="22"/>
      <c r="T397" s="219"/>
      <c r="U397" s="219"/>
      <c r="V397" s="219"/>
      <c r="W397" s="219"/>
      <c r="X397" s="219"/>
      <c r="Y397" s="120"/>
      <c r="Z397" s="96">
        <f>SUM(T397:X397)</f>
        <v>0</v>
      </c>
      <c r="AA397" s="97">
        <f>IF(C397=2011, Z397/3,Z397)+Y397</f>
        <v>0</v>
      </c>
      <c r="AB397" s="22"/>
      <c r="AJ397" s="95"/>
      <c r="AK397" s="96"/>
      <c r="AL397" s="97"/>
    </row>
    <row r="398" spans="1:38" x14ac:dyDescent="0.25">
      <c r="A398" s="60" t="s">
        <v>932</v>
      </c>
      <c r="B398" s="11" t="s">
        <v>1006</v>
      </c>
      <c r="C398" s="62">
        <v>2011</v>
      </c>
      <c r="D398" s="1">
        <f t="shared" si="24"/>
        <v>38</v>
      </c>
      <c r="F398" s="233">
        <f>18+3</f>
        <v>21</v>
      </c>
      <c r="G398" s="233"/>
      <c r="H398" s="233"/>
      <c r="I398" s="233">
        <f>10+4</f>
        <v>14</v>
      </c>
      <c r="J398" s="233"/>
      <c r="K398" s="233">
        <f>0+3</f>
        <v>3</v>
      </c>
      <c r="L398" s="233"/>
      <c r="M398" s="233"/>
      <c r="N398" s="233"/>
      <c r="O398" s="233">
        <f>AA398</f>
        <v>0</v>
      </c>
      <c r="P398" s="120"/>
      <c r="Q398" s="96">
        <f>I398+J398+K398+L398+M398+N398+O398</f>
        <v>17</v>
      </c>
      <c r="R398" s="97">
        <f>IF(C398=2012, Q398/3,Q398)+P398</f>
        <v>17</v>
      </c>
      <c r="S398" s="22"/>
      <c r="T398" s="233"/>
      <c r="U398" s="233"/>
      <c r="V398" s="233"/>
      <c r="W398" s="233"/>
      <c r="X398" s="233"/>
      <c r="Y398" s="120"/>
      <c r="Z398" s="96">
        <f>SUM(T398:X398)</f>
        <v>0</v>
      </c>
      <c r="AA398" s="97">
        <f>IF(C398=2011, Z398/3,Z398)+Y398</f>
        <v>0</v>
      </c>
      <c r="AB398" s="22"/>
      <c r="AJ398" s="95"/>
      <c r="AK398" s="96"/>
      <c r="AL398" s="97"/>
    </row>
    <row r="399" spans="1:38" x14ac:dyDescent="0.25">
      <c r="A399" s="71" t="s">
        <v>1036</v>
      </c>
      <c r="B399" s="71" t="s">
        <v>86</v>
      </c>
      <c r="C399" s="72">
        <v>2012</v>
      </c>
      <c r="D399" s="1">
        <f t="shared" si="24"/>
        <v>11</v>
      </c>
      <c r="I399" s="205">
        <f>33</f>
        <v>33</v>
      </c>
      <c r="J399" s="205"/>
      <c r="K399" s="205"/>
      <c r="L399" s="205"/>
      <c r="M399" s="205"/>
      <c r="N399" s="205"/>
      <c r="O399" s="219">
        <f>AA399</f>
        <v>0</v>
      </c>
      <c r="P399" s="154"/>
      <c r="Q399" s="96">
        <f>I399+J399+K399+L399+M399+N399+O399</f>
        <v>33</v>
      </c>
      <c r="R399" s="97">
        <f>IF(C399=2012, Q399/3,Q399)+P399</f>
        <v>11</v>
      </c>
      <c r="U399" s="205"/>
      <c r="V399" s="205"/>
      <c r="W399" s="205"/>
      <c r="X399" s="205"/>
      <c r="Y399" s="120"/>
      <c r="Z399" s="96">
        <f>SUM(T399:X399)</f>
        <v>0</v>
      </c>
      <c r="AA399" s="97">
        <f>IF(C399=2011, Z399/3,Z399)+Y399</f>
        <v>0</v>
      </c>
      <c r="AB399" s="22"/>
      <c r="AC399" s="233"/>
      <c r="AD399" s="233"/>
      <c r="AE399" s="233"/>
      <c r="AF399" s="233"/>
      <c r="AG399" s="233"/>
      <c r="AH399" s="233"/>
      <c r="AI399" s="36"/>
      <c r="AJ399" s="95"/>
      <c r="AK399" s="96"/>
      <c r="AL399" s="97"/>
    </row>
    <row r="400" spans="1:38" ht="16.5" customHeight="1" x14ac:dyDescent="0.25">
      <c r="A400" s="11" t="s">
        <v>1196</v>
      </c>
      <c r="B400" s="87" t="s">
        <v>87</v>
      </c>
      <c r="C400" s="3">
        <v>2009</v>
      </c>
      <c r="D400" s="1">
        <f t="shared" si="24"/>
        <v>0</v>
      </c>
      <c r="E400" s="233">
        <f>0</f>
        <v>0</v>
      </c>
    </row>
    <row r="401" spans="1:38" ht="16.5" customHeight="1" x14ac:dyDescent="0.25">
      <c r="A401" s="11" t="s">
        <v>1168</v>
      </c>
      <c r="B401" s="60" t="s">
        <v>86</v>
      </c>
      <c r="C401" s="62">
        <v>2011</v>
      </c>
      <c r="D401" s="1">
        <f t="shared" si="24"/>
        <v>8</v>
      </c>
      <c r="E401" s="233">
        <f>8</f>
        <v>8</v>
      </c>
      <c r="I401" s="233"/>
      <c r="J401" s="233"/>
      <c r="K401" s="233"/>
      <c r="L401" s="233"/>
      <c r="M401" s="233"/>
      <c r="N401" s="233"/>
      <c r="O401" s="233"/>
      <c r="P401" s="120"/>
      <c r="Q401" s="96"/>
      <c r="R401" s="97"/>
      <c r="S401" s="22"/>
      <c r="T401" s="233"/>
      <c r="U401" s="233"/>
      <c r="V401" s="233"/>
      <c r="W401" s="233"/>
      <c r="X401" s="233"/>
      <c r="Y401" s="120"/>
      <c r="Z401" s="96"/>
      <c r="AA401" s="97"/>
      <c r="AB401" s="22"/>
      <c r="AC401" s="41"/>
      <c r="AD401" s="41"/>
      <c r="AE401" s="41"/>
      <c r="AF401" s="41"/>
      <c r="AG401" s="41"/>
      <c r="AH401" s="41"/>
      <c r="AJ401" s="95"/>
      <c r="AK401" s="96"/>
      <c r="AL401" s="97"/>
    </row>
    <row r="402" spans="1:38" ht="16.5" customHeight="1" x14ac:dyDescent="0.25">
      <c r="A402" s="11" t="s">
        <v>1087</v>
      </c>
      <c r="B402" s="60" t="s">
        <v>232</v>
      </c>
      <c r="C402" s="62">
        <v>2011</v>
      </c>
      <c r="D402" s="1">
        <f t="shared" si="24"/>
        <v>27</v>
      </c>
      <c r="E402" s="233">
        <f>25+2</f>
        <v>27</v>
      </c>
      <c r="F402" s="219">
        <f>0</f>
        <v>0</v>
      </c>
      <c r="I402" s="233"/>
      <c r="J402" s="233"/>
      <c r="K402" s="233"/>
      <c r="L402" s="233"/>
      <c r="M402" s="233"/>
      <c r="N402" s="233"/>
      <c r="O402" s="233"/>
      <c r="P402" s="120"/>
      <c r="Q402" s="96"/>
      <c r="R402" s="97"/>
      <c r="S402" s="22"/>
      <c r="T402" s="233"/>
      <c r="U402" s="233"/>
      <c r="V402" s="233"/>
      <c r="W402" s="233"/>
      <c r="X402" s="233"/>
      <c r="Y402" s="120"/>
      <c r="Z402" s="96"/>
      <c r="AA402" s="97"/>
      <c r="AB402" s="22"/>
      <c r="AC402" s="41"/>
      <c r="AD402" s="41"/>
      <c r="AE402" s="41"/>
      <c r="AF402" s="41"/>
      <c r="AG402" s="41"/>
      <c r="AH402" s="41"/>
      <c r="AJ402" s="95"/>
      <c r="AK402" s="96"/>
      <c r="AL402" s="97"/>
    </row>
    <row r="403" spans="1:38" ht="16.5" customHeight="1" x14ac:dyDescent="0.25">
      <c r="A403" s="11" t="s">
        <v>984</v>
      </c>
      <c r="B403" s="60" t="s">
        <v>948</v>
      </c>
      <c r="C403" s="62">
        <v>2011</v>
      </c>
      <c r="D403" s="1">
        <f t="shared" si="24"/>
        <v>6</v>
      </c>
      <c r="I403" s="233"/>
      <c r="J403" s="233">
        <f>6</f>
        <v>6</v>
      </c>
      <c r="K403" s="233"/>
      <c r="L403" s="233"/>
      <c r="M403" s="233"/>
      <c r="N403" s="233"/>
      <c r="O403" s="233">
        <f>AA403</f>
        <v>0</v>
      </c>
      <c r="P403" s="120"/>
      <c r="Q403" s="96">
        <f>I403+J403+K403+L403+M403+N403+O403</f>
        <v>6</v>
      </c>
      <c r="R403" s="97">
        <f>IF(C403=2012, Q403/3,Q403)+P403</f>
        <v>6</v>
      </c>
      <c r="S403" s="22"/>
      <c r="T403" s="233"/>
      <c r="U403" s="233"/>
      <c r="V403" s="233"/>
      <c r="W403" s="233"/>
      <c r="X403" s="233"/>
      <c r="Y403" s="120"/>
      <c r="Z403" s="96">
        <f>SUM(T403:X403)</f>
        <v>0</v>
      </c>
      <c r="AA403" s="97">
        <f>IF(C403=2011, Z403/3,Z403)+Y403</f>
        <v>0</v>
      </c>
      <c r="AB403" s="22"/>
      <c r="AC403" s="41"/>
      <c r="AD403" s="41"/>
      <c r="AE403" s="41"/>
      <c r="AF403" s="41"/>
      <c r="AG403" s="41"/>
      <c r="AH403" s="41"/>
      <c r="AJ403" s="95"/>
      <c r="AK403" s="96"/>
      <c r="AL403" s="97"/>
    </row>
    <row r="404" spans="1:38" ht="16.5" customHeight="1" x14ac:dyDescent="0.25">
      <c r="A404" s="11" t="s">
        <v>1206</v>
      </c>
      <c r="B404" s="87" t="s">
        <v>87</v>
      </c>
      <c r="C404" s="3">
        <v>2010</v>
      </c>
      <c r="D404" s="1">
        <f>R404+F404+E404+G404</f>
        <v>33</v>
      </c>
      <c r="E404" s="233">
        <f>0</f>
        <v>0</v>
      </c>
      <c r="G404" s="219">
        <f>33</f>
        <v>33</v>
      </c>
    </row>
    <row r="405" spans="1:38" ht="16.5" customHeight="1" x14ac:dyDescent="0.25">
      <c r="A405" s="11" t="s">
        <v>1089</v>
      </c>
      <c r="B405" s="60" t="s">
        <v>1006</v>
      </c>
      <c r="C405" s="62">
        <v>2009</v>
      </c>
      <c r="D405" s="1">
        <f t="shared" ref="D405:D427" si="25">R405+F405+E405</f>
        <v>3</v>
      </c>
      <c r="F405" s="219">
        <f>3</f>
        <v>3</v>
      </c>
      <c r="I405" s="205"/>
      <c r="J405" s="205"/>
      <c r="K405" s="205"/>
      <c r="L405" s="205"/>
      <c r="M405" s="205"/>
      <c r="N405" s="205"/>
      <c r="O405" s="219"/>
      <c r="P405" s="120"/>
      <c r="Q405" s="96"/>
      <c r="R405" s="97"/>
      <c r="S405" s="22"/>
      <c r="T405" s="233"/>
      <c r="U405" s="205"/>
      <c r="V405" s="205"/>
      <c r="W405" s="205"/>
      <c r="X405" s="205"/>
      <c r="Y405" s="120"/>
      <c r="Z405" s="96"/>
      <c r="AA405" s="97"/>
      <c r="AB405" s="22"/>
      <c r="AC405" s="41"/>
      <c r="AD405" s="41"/>
      <c r="AE405" s="41"/>
      <c r="AF405" s="41"/>
      <c r="AG405" s="41"/>
      <c r="AH405" s="41"/>
      <c r="AJ405" s="95"/>
      <c r="AK405" s="96"/>
      <c r="AL405" s="97"/>
    </row>
    <row r="406" spans="1:38" ht="16.5" customHeight="1" x14ac:dyDescent="0.25">
      <c r="A406" s="11" t="s">
        <v>1180</v>
      </c>
      <c r="B406" s="87" t="s">
        <v>87</v>
      </c>
      <c r="C406" s="3">
        <v>2012</v>
      </c>
      <c r="D406" s="1">
        <f t="shared" si="25"/>
        <v>3</v>
      </c>
      <c r="E406" s="233">
        <f>3</f>
        <v>3</v>
      </c>
    </row>
    <row r="407" spans="1:38" x14ac:dyDescent="0.25">
      <c r="A407" s="11" t="s">
        <v>1183</v>
      </c>
      <c r="B407" s="87" t="s">
        <v>87</v>
      </c>
      <c r="C407" s="3">
        <v>2009</v>
      </c>
      <c r="D407" s="1">
        <f t="shared" si="25"/>
        <v>21</v>
      </c>
      <c r="E407" s="233">
        <v>21</v>
      </c>
    </row>
    <row r="408" spans="1:38" x14ac:dyDescent="0.25">
      <c r="A408" s="11" t="s">
        <v>1173</v>
      </c>
      <c r="B408" s="60" t="s">
        <v>86</v>
      </c>
      <c r="C408" s="62">
        <v>2011</v>
      </c>
      <c r="D408" s="1">
        <f t="shared" si="25"/>
        <v>0</v>
      </c>
      <c r="E408" s="233">
        <f>0</f>
        <v>0</v>
      </c>
      <c r="I408" s="233"/>
      <c r="J408" s="233"/>
      <c r="K408" s="233"/>
      <c r="L408" s="233"/>
      <c r="M408" s="233"/>
      <c r="N408" s="233"/>
      <c r="O408" s="233"/>
      <c r="P408" s="120"/>
      <c r="Q408" s="96"/>
      <c r="R408" s="97"/>
      <c r="S408" s="22"/>
      <c r="T408" s="233"/>
      <c r="U408" s="233"/>
      <c r="V408" s="233"/>
      <c r="W408" s="233"/>
      <c r="X408" s="233"/>
      <c r="Y408" s="120"/>
      <c r="Z408" s="96"/>
      <c r="AA408" s="97"/>
      <c r="AB408" s="22"/>
      <c r="AC408" s="41"/>
      <c r="AD408" s="41"/>
      <c r="AE408" s="41"/>
      <c r="AF408" s="41"/>
      <c r="AG408" s="41"/>
      <c r="AH408" s="41"/>
      <c r="AJ408" s="95"/>
      <c r="AK408" s="96"/>
      <c r="AL408" s="97"/>
    </row>
    <row r="409" spans="1:38" x14ac:dyDescent="0.25">
      <c r="A409" s="60" t="s">
        <v>991</v>
      </c>
      <c r="B409" s="65" t="s">
        <v>948</v>
      </c>
      <c r="C409" s="62">
        <v>2010</v>
      </c>
      <c r="D409" s="1">
        <f t="shared" si="25"/>
        <v>0</v>
      </c>
      <c r="I409" s="233"/>
      <c r="J409" s="233">
        <f>0</f>
        <v>0</v>
      </c>
      <c r="K409" s="233"/>
      <c r="L409" s="233"/>
      <c r="M409" s="233"/>
      <c r="N409" s="233"/>
      <c r="O409" s="233">
        <f>AA409</f>
        <v>0</v>
      </c>
      <c r="P409" s="120"/>
      <c r="Q409" s="96">
        <f>I409+J409+K409+L409+M409+N409+O409</f>
        <v>0</v>
      </c>
      <c r="R409" s="97">
        <f>IF(C409=2012, Q409/3,Q409)+P409</f>
        <v>0</v>
      </c>
      <c r="S409" s="22"/>
      <c r="T409" s="233"/>
      <c r="U409" s="233"/>
      <c r="V409" s="233"/>
      <c r="W409" s="233"/>
      <c r="X409" s="233"/>
      <c r="Y409" s="120"/>
      <c r="Z409" s="96">
        <f>SUM(T409:X409)</f>
        <v>0</v>
      </c>
      <c r="AA409" s="97">
        <f>IF(C409=2011, Z409/3,Z409)+Y409</f>
        <v>0</v>
      </c>
      <c r="AB409" s="22"/>
      <c r="AJ409" s="95"/>
      <c r="AK409" s="96"/>
      <c r="AL409" s="97"/>
    </row>
    <row r="410" spans="1:38" x14ac:dyDescent="0.25">
      <c r="A410" s="60" t="s">
        <v>987</v>
      </c>
      <c r="B410" s="65" t="s">
        <v>63</v>
      </c>
      <c r="C410" s="62">
        <v>2011</v>
      </c>
      <c r="D410" s="1">
        <f t="shared" si="25"/>
        <v>2</v>
      </c>
      <c r="F410" s="233"/>
      <c r="G410" s="233"/>
      <c r="H410" s="233"/>
      <c r="I410" s="233">
        <f>0+1</f>
        <v>1</v>
      </c>
      <c r="J410" s="233">
        <f>0+1</f>
        <v>1</v>
      </c>
      <c r="K410" s="233"/>
      <c r="L410" s="233"/>
      <c r="M410" s="233"/>
      <c r="N410" s="233"/>
      <c r="O410" s="233">
        <f>AA410</f>
        <v>0</v>
      </c>
      <c r="P410" s="120"/>
      <c r="Q410" s="96">
        <f>I410+J410+K410+L410+M410+N410+O410</f>
        <v>2</v>
      </c>
      <c r="R410" s="97">
        <f>IF(C410=2012, Q410/3,Q410)+P410</f>
        <v>2</v>
      </c>
      <c r="S410" s="22"/>
      <c r="T410" s="233"/>
      <c r="U410" s="233"/>
      <c r="V410" s="233"/>
      <c r="W410" s="233"/>
      <c r="X410" s="233"/>
      <c r="Y410" s="120"/>
      <c r="Z410" s="96">
        <f>SUM(T410:X410)</f>
        <v>0</v>
      </c>
      <c r="AA410" s="97">
        <f>IF(C410=2011, Z410/3,Z410)+Y410</f>
        <v>0</v>
      </c>
      <c r="AB410" s="22"/>
      <c r="AJ410" s="95"/>
      <c r="AK410" s="96"/>
      <c r="AL410" s="97"/>
    </row>
    <row r="411" spans="1:38" x14ac:dyDescent="0.25">
      <c r="A411" s="53" t="s">
        <v>1052</v>
      </c>
      <c r="B411" s="84" t="s">
        <v>86</v>
      </c>
      <c r="C411" s="54">
        <v>2011</v>
      </c>
      <c r="D411" s="1">
        <f t="shared" si="25"/>
        <v>11</v>
      </c>
      <c r="I411" s="219">
        <f>11</f>
        <v>11</v>
      </c>
      <c r="J411" s="219"/>
      <c r="K411" s="219"/>
      <c r="L411" s="219"/>
      <c r="M411" s="219"/>
      <c r="N411" s="219"/>
      <c r="O411" s="219">
        <f>AA411</f>
        <v>0</v>
      </c>
      <c r="P411" s="120"/>
      <c r="Q411" s="96">
        <f>I411+J411+K411+L411+M411+N411+O411</f>
        <v>11</v>
      </c>
      <c r="R411" s="97">
        <f>IF(C411=2012, Q411/3,Q411)+P411</f>
        <v>11</v>
      </c>
      <c r="S411" s="22"/>
      <c r="T411" s="219"/>
      <c r="U411" s="219"/>
      <c r="V411" s="219"/>
      <c r="W411" s="219"/>
      <c r="X411" s="219"/>
      <c r="Y411" s="120"/>
      <c r="Z411" s="96">
        <f>SUM(T411:X411)</f>
        <v>0</v>
      </c>
      <c r="AA411" s="97">
        <f>IF(C411=2011, Z411/3,Z411)+Y411</f>
        <v>0</v>
      </c>
      <c r="AB411" s="22"/>
      <c r="AC411" s="41"/>
      <c r="AD411" s="41"/>
      <c r="AE411" s="41"/>
      <c r="AF411" s="41"/>
      <c r="AG411" s="41"/>
      <c r="AH411" s="41"/>
      <c r="AI411" s="41"/>
      <c r="AJ411" s="95"/>
      <c r="AK411" s="96"/>
      <c r="AL411" s="97"/>
    </row>
    <row r="412" spans="1:38" x14ac:dyDescent="0.25">
      <c r="A412" s="11" t="s">
        <v>1175</v>
      </c>
      <c r="B412" s="87" t="s">
        <v>87</v>
      </c>
      <c r="C412" s="3">
        <v>2011</v>
      </c>
      <c r="D412" s="1">
        <f t="shared" si="25"/>
        <v>9</v>
      </c>
      <c r="E412" s="233">
        <f>9</f>
        <v>9</v>
      </c>
    </row>
    <row r="413" spans="1:38" x14ac:dyDescent="0.25">
      <c r="A413" s="11" t="s">
        <v>966</v>
      </c>
      <c r="B413" s="60" t="s">
        <v>63</v>
      </c>
      <c r="C413" s="62">
        <v>2012</v>
      </c>
      <c r="D413" s="1">
        <f t="shared" si="25"/>
        <v>0</v>
      </c>
      <c r="I413" s="205"/>
      <c r="J413" s="196">
        <f>0</f>
        <v>0</v>
      </c>
      <c r="K413" s="186"/>
      <c r="L413" s="174"/>
      <c r="M413" s="174"/>
      <c r="N413" s="174"/>
      <c r="O413" s="219">
        <f t="shared" ref="O413:O417" si="26">AA413</f>
        <v>0</v>
      </c>
      <c r="P413" s="154"/>
      <c r="Q413" s="96">
        <f t="shared" ref="Q413:Q417" si="27">I413+J413+K413+L413+M413+N413+O413</f>
        <v>0</v>
      </c>
      <c r="R413" s="97">
        <f t="shared" ref="R413:R417" si="28">IF(C413=2012, Q413/3,Q413)+P413</f>
        <v>0</v>
      </c>
      <c r="U413" s="174"/>
      <c r="V413" s="174"/>
      <c r="W413" s="174"/>
      <c r="X413" s="174"/>
      <c r="Y413" s="120"/>
      <c r="Z413" s="96">
        <f t="shared" ref="Z413:Z417" si="29">SUM(T413:X413)</f>
        <v>0</v>
      </c>
      <c r="AA413" s="97">
        <f t="shared" ref="AA413:AA417" si="30">IF(C413=2011, Z413/3,Z413)+Y413</f>
        <v>0</v>
      </c>
      <c r="AB413" s="22"/>
      <c r="AC413" s="153"/>
      <c r="AD413" s="153"/>
      <c r="AE413" s="153"/>
      <c r="AF413" s="153"/>
      <c r="AG413" s="153"/>
      <c r="AH413" s="153"/>
      <c r="AJ413" s="95"/>
      <c r="AK413" s="96"/>
      <c r="AL413" s="97"/>
    </row>
    <row r="414" spans="1:38" x14ac:dyDescent="0.25">
      <c r="A414" s="53" t="s">
        <v>1055</v>
      </c>
      <c r="B414" s="84" t="s">
        <v>86</v>
      </c>
      <c r="C414" s="54">
        <v>2011</v>
      </c>
      <c r="D414" s="1">
        <f t="shared" si="25"/>
        <v>9</v>
      </c>
      <c r="I414" s="233">
        <f>9</f>
        <v>9</v>
      </c>
      <c r="J414" s="233"/>
      <c r="K414" s="233"/>
      <c r="L414" s="233"/>
      <c r="M414" s="233"/>
      <c r="N414" s="233"/>
      <c r="O414" s="233">
        <f t="shared" si="26"/>
        <v>0</v>
      </c>
      <c r="P414" s="120"/>
      <c r="Q414" s="96">
        <f t="shared" si="27"/>
        <v>9</v>
      </c>
      <c r="R414" s="97">
        <f t="shared" si="28"/>
        <v>9</v>
      </c>
      <c r="S414" s="22"/>
      <c r="T414" s="233"/>
      <c r="U414" s="233"/>
      <c r="V414" s="233"/>
      <c r="W414" s="233"/>
      <c r="X414" s="233"/>
      <c r="Y414" s="120"/>
      <c r="Z414" s="96">
        <f t="shared" si="29"/>
        <v>0</v>
      </c>
      <c r="AA414" s="97">
        <f t="shared" si="30"/>
        <v>0</v>
      </c>
      <c r="AB414" s="22"/>
      <c r="AC414" s="41"/>
      <c r="AD414" s="41"/>
      <c r="AE414" s="41"/>
      <c r="AF414" s="41"/>
      <c r="AG414" s="41"/>
      <c r="AH414" s="41"/>
      <c r="AI414" s="41"/>
      <c r="AJ414" s="95"/>
      <c r="AK414" s="96"/>
      <c r="AL414" s="97"/>
    </row>
    <row r="415" spans="1:38" x14ac:dyDescent="0.25">
      <c r="A415" s="53" t="s">
        <v>1066</v>
      </c>
      <c r="B415" s="11" t="s">
        <v>1006</v>
      </c>
      <c r="C415" s="54">
        <v>2010</v>
      </c>
      <c r="D415" s="1">
        <f t="shared" si="25"/>
        <v>0</v>
      </c>
      <c r="I415" s="233">
        <f>0</f>
        <v>0</v>
      </c>
      <c r="J415" s="233"/>
      <c r="K415" s="233"/>
      <c r="L415" s="233"/>
      <c r="M415" s="233"/>
      <c r="N415" s="233"/>
      <c r="O415" s="233">
        <f t="shared" si="26"/>
        <v>0</v>
      </c>
      <c r="P415" s="120"/>
      <c r="Q415" s="96">
        <f t="shared" si="27"/>
        <v>0</v>
      </c>
      <c r="R415" s="97">
        <f t="shared" si="28"/>
        <v>0</v>
      </c>
      <c r="S415" s="22"/>
      <c r="T415" s="233"/>
      <c r="U415" s="233"/>
      <c r="V415" s="233"/>
      <c r="W415" s="233"/>
      <c r="X415" s="233"/>
      <c r="Y415" s="120"/>
      <c r="Z415" s="96">
        <f t="shared" si="29"/>
        <v>0</v>
      </c>
      <c r="AA415" s="97">
        <f t="shared" si="30"/>
        <v>0</v>
      </c>
      <c r="AB415" s="22"/>
      <c r="AC415" s="41"/>
      <c r="AD415" s="41"/>
      <c r="AE415" s="41"/>
      <c r="AF415" s="41"/>
      <c r="AG415" s="41"/>
      <c r="AH415" s="41"/>
      <c r="AI415" s="41"/>
      <c r="AJ415" s="95"/>
      <c r="AK415" s="96"/>
      <c r="AL415" s="97"/>
    </row>
    <row r="416" spans="1:38" x14ac:dyDescent="0.25">
      <c r="A416" s="53" t="s">
        <v>1061</v>
      </c>
      <c r="B416" s="11" t="s">
        <v>1006</v>
      </c>
      <c r="C416" s="54">
        <v>2009</v>
      </c>
      <c r="D416" s="1">
        <f t="shared" si="25"/>
        <v>0</v>
      </c>
      <c r="I416" s="233">
        <f>0</f>
        <v>0</v>
      </c>
      <c r="J416" s="233"/>
      <c r="K416" s="233"/>
      <c r="L416" s="233"/>
      <c r="M416" s="233"/>
      <c r="N416" s="233"/>
      <c r="O416" s="233">
        <f t="shared" si="26"/>
        <v>0</v>
      </c>
      <c r="P416" s="120"/>
      <c r="Q416" s="96">
        <f t="shared" si="27"/>
        <v>0</v>
      </c>
      <c r="R416" s="97">
        <f t="shared" si="28"/>
        <v>0</v>
      </c>
      <c r="S416" s="22"/>
      <c r="T416" s="233"/>
      <c r="U416" s="233"/>
      <c r="V416" s="233"/>
      <c r="W416" s="233"/>
      <c r="X416" s="233"/>
      <c r="Y416" s="120"/>
      <c r="Z416" s="96">
        <f t="shared" si="29"/>
        <v>0</v>
      </c>
      <c r="AA416" s="97">
        <f t="shared" si="30"/>
        <v>0</v>
      </c>
      <c r="AB416" s="22"/>
      <c r="AC416" s="41"/>
      <c r="AD416" s="41"/>
      <c r="AE416" s="41"/>
      <c r="AF416" s="41"/>
      <c r="AG416" s="41"/>
      <c r="AH416" s="41"/>
      <c r="AI416" s="41"/>
      <c r="AJ416" s="95"/>
      <c r="AK416" s="96"/>
      <c r="AL416" s="97"/>
    </row>
    <row r="417" spans="1:38" x14ac:dyDescent="0.25">
      <c r="A417" s="53" t="s">
        <v>931</v>
      </c>
      <c r="B417" s="11" t="s">
        <v>1006</v>
      </c>
      <c r="C417" s="54">
        <v>2011</v>
      </c>
      <c r="D417" s="1">
        <f t="shared" si="25"/>
        <v>54</v>
      </c>
      <c r="F417" s="219">
        <f>21+3</f>
        <v>24</v>
      </c>
      <c r="I417" s="233">
        <f>20+4</f>
        <v>24</v>
      </c>
      <c r="J417" s="233"/>
      <c r="K417" s="233">
        <f>6</f>
        <v>6</v>
      </c>
      <c r="L417" s="233"/>
      <c r="M417" s="233"/>
      <c r="N417" s="233"/>
      <c r="O417" s="233">
        <f t="shared" si="26"/>
        <v>0</v>
      </c>
      <c r="P417" s="120"/>
      <c r="Q417" s="96">
        <f t="shared" si="27"/>
        <v>30</v>
      </c>
      <c r="R417" s="97">
        <f t="shared" si="28"/>
        <v>30</v>
      </c>
      <c r="S417" s="22"/>
      <c r="T417" s="233"/>
      <c r="U417" s="233"/>
      <c r="V417" s="233"/>
      <c r="W417" s="233"/>
      <c r="X417" s="233"/>
      <c r="Y417" s="120"/>
      <c r="Z417" s="96">
        <f t="shared" si="29"/>
        <v>0</v>
      </c>
      <c r="AA417" s="97">
        <f t="shared" si="30"/>
        <v>0</v>
      </c>
      <c r="AB417" s="22"/>
      <c r="AC417" s="41"/>
      <c r="AD417" s="41"/>
      <c r="AE417" s="41"/>
      <c r="AF417" s="41"/>
      <c r="AG417" s="41"/>
      <c r="AH417" s="41"/>
      <c r="AI417" s="41"/>
      <c r="AJ417" s="95"/>
      <c r="AK417" s="96"/>
      <c r="AL417" s="97"/>
    </row>
    <row r="418" spans="1:38" x14ac:dyDescent="0.25">
      <c r="A418" s="53" t="s">
        <v>1088</v>
      </c>
      <c r="B418" s="84" t="s">
        <v>7</v>
      </c>
      <c r="C418" s="54">
        <v>2010</v>
      </c>
      <c r="D418" s="1">
        <f t="shared" si="25"/>
        <v>19</v>
      </c>
      <c r="E418" s="233">
        <f>14+5</f>
        <v>19</v>
      </c>
      <c r="F418" s="219">
        <f>0</f>
        <v>0</v>
      </c>
      <c r="I418" s="233"/>
      <c r="J418" s="233"/>
      <c r="K418" s="233"/>
      <c r="L418" s="233"/>
      <c r="M418" s="233"/>
      <c r="N418" s="233"/>
      <c r="O418" s="233"/>
      <c r="P418" s="120"/>
      <c r="Q418" s="96"/>
      <c r="R418" s="97"/>
      <c r="S418" s="22"/>
      <c r="T418" s="233"/>
      <c r="U418" s="233"/>
      <c r="V418" s="233"/>
      <c r="W418" s="233"/>
      <c r="X418" s="233"/>
      <c r="Y418" s="120"/>
      <c r="Z418" s="96"/>
      <c r="AA418" s="97"/>
      <c r="AB418" s="22"/>
      <c r="AC418" s="41"/>
      <c r="AD418" s="41"/>
      <c r="AE418" s="41"/>
      <c r="AF418" s="41"/>
      <c r="AG418" s="41"/>
      <c r="AH418" s="41"/>
      <c r="AI418" s="41"/>
      <c r="AJ418" s="95"/>
      <c r="AK418" s="96"/>
      <c r="AL418" s="97"/>
    </row>
    <row r="419" spans="1:38" x14ac:dyDescent="0.25">
      <c r="A419" s="53" t="s">
        <v>1174</v>
      </c>
      <c r="B419" s="84" t="s">
        <v>86</v>
      </c>
      <c r="C419" s="54">
        <v>2010</v>
      </c>
      <c r="D419" s="1">
        <f t="shared" si="25"/>
        <v>0</v>
      </c>
      <c r="E419" s="233">
        <f>0</f>
        <v>0</v>
      </c>
      <c r="I419" s="233"/>
      <c r="J419" s="233"/>
      <c r="K419" s="233"/>
      <c r="L419" s="233"/>
      <c r="M419" s="233"/>
      <c r="N419" s="233"/>
      <c r="O419" s="233"/>
      <c r="P419" s="120"/>
      <c r="Q419" s="96"/>
      <c r="R419" s="97"/>
      <c r="S419" s="22"/>
      <c r="T419" s="233"/>
      <c r="U419" s="233"/>
      <c r="V419" s="233"/>
      <c r="W419" s="233"/>
      <c r="X419" s="233"/>
      <c r="Y419" s="120"/>
      <c r="Z419" s="96"/>
      <c r="AA419" s="97"/>
      <c r="AB419" s="22"/>
      <c r="AC419" s="41"/>
      <c r="AD419" s="41"/>
      <c r="AE419" s="41"/>
      <c r="AF419" s="41"/>
      <c r="AG419" s="41"/>
      <c r="AH419" s="41"/>
      <c r="AI419" s="41"/>
      <c r="AJ419" s="95"/>
      <c r="AK419" s="96"/>
      <c r="AL419" s="97"/>
    </row>
    <row r="420" spans="1:38" x14ac:dyDescent="0.25">
      <c r="A420" s="60" t="s">
        <v>1076</v>
      </c>
      <c r="B420" s="65" t="s">
        <v>232</v>
      </c>
      <c r="C420" s="62">
        <v>2011</v>
      </c>
      <c r="D420" s="1">
        <f t="shared" si="25"/>
        <v>24</v>
      </c>
      <c r="F420" s="219">
        <f>24</f>
        <v>24</v>
      </c>
      <c r="I420" s="233"/>
      <c r="J420" s="233"/>
      <c r="K420" s="233"/>
      <c r="L420" s="233"/>
      <c r="M420" s="233"/>
      <c r="N420" s="233"/>
      <c r="O420" s="233"/>
      <c r="P420" s="120"/>
      <c r="Q420" s="96"/>
      <c r="R420" s="97"/>
      <c r="S420" s="22"/>
      <c r="T420" s="233"/>
      <c r="U420" s="233"/>
      <c r="V420" s="233"/>
      <c r="W420" s="233"/>
      <c r="X420" s="233"/>
      <c r="Y420" s="120"/>
      <c r="Z420" s="96"/>
      <c r="AA420" s="97"/>
      <c r="AB420" s="22"/>
      <c r="AJ420" s="95"/>
      <c r="AK420" s="96"/>
      <c r="AL420" s="97"/>
    </row>
    <row r="421" spans="1:38" x14ac:dyDescent="0.25">
      <c r="A421" s="53" t="s">
        <v>1065</v>
      </c>
      <c r="B421" s="84" t="s">
        <v>86</v>
      </c>
      <c r="C421" s="54">
        <v>2010</v>
      </c>
      <c r="D421" s="1">
        <f t="shared" si="25"/>
        <v>0</v>
      </c>
      <c r="I421" s="233">
        <f>0</f>
        <v>0</v>
      </c>
      <c r="J421" s="233"/>
      <c r="K421" s="233"/>
      <c r="L421" s="233"/>
      <c r="M421" s="233"/>
      <c r="N421" s="233"/>
      <c r="O421" s="233">
        <f>AA421</f>
        <v>0</v>
      </c>
      <c r="P421" s="120"/>
      <c r="Q421" s="96">
        <f>I421+J421+K421+L421+M421+N421+O421</f>
        <v>0</v>
      </c>
      <c r="R421" s="97">
        <f>IF(C421=2012, Q421/3,Q421)+P421</f>
        <v>0</v>
      </c>
      <c r="S421" s="22"/>
      <c r="T421" s="233"/>
      <c r="U421" s="233"/>
      <c r="V421" s="233"/>
      <c r="W421" s="233"/>
      <c r="X421" s="233"/>
      <c r="Y421" s="120"/>
      <c r="Z421" s="96">
        <f>SUM(T421:X421)</f>
        <v>0</v>
      </c>
      <c r="AA421" s="97">
        <f>IF(C421=2011, Z421/3,Z421)+Y421</f>
        <v>0</v>
      </c>
      <c r="AB421" s="22"/>
      <c r="AC421" s="41"/>
      <c r="AD421" s="41"/>
      <c r="AE421" s="41"/>
      <c r="AF421" s="41"/>
      <c r="AG421" s="41"/>
      <c r="AH421" s="41"/>
      <c r="AI421" s="41"/>
      <c r="AJ421" s="95"/>
      <c r="AK421" s="96"/>
      <c r="AL421" s="97"/>
    </row>
    <row r="422" spans="1:38" x14ac:dyDescent="0.25">
      <c r="A422" s="11" t="s">
        <v>1190</v>
      </c>
      <c r="B422" s="87" t="s">
        <v>87</v>
      </c>
      <c r="C422" s="3">
        <v>2012</v>
      </c>
      <c r="D422" s="1">
        <f t="shared" si="25"/>
        <v>12</v>
      </c>
      <c r="E422" s="233">
        <f>12</f>
        <v>12</v>
      </c>
    </row>
    <row r="423" spans="1:38" x14ac:dyDescent="0.25">
      <c r="A423" s="53" t="s">
        <v>1059</v>
      </c>
      <c r="B423" s="84" t="s">
        <v>63</v>
      </c>
      <c r="C423" s="54">
        <v>2011</v>
      </c>
      <c r="D423" s="1">
        <f t="shared" si="25"/>
        <v>0</v>
      </c>
      <c r="I423" s="233">
        <f>0</f>
        <v>0</v>
      </c>
      <c r="J423" s="233"/>
      <c r="K423" s="233"/>
      <c r="L423" s="233"/>
      <c r="M423" s="233"/>
      <c r="N423" s="233"/>
      <c r="O423" s="233">
        <f>AA423</f>
        <v>0</v>
      </c>
      <c r="P423" s="120"/>
      <c r="Q423" s="96">
        <f>I423+J423+K423+L423+M423+N423+O423</f>
        <v>0</v>
      </c>
      <c r="R423" s="97">
        <f>IF(C423=2012, Q423/3,Q423)+P423</f>
        <v>0</v>
      </c>
      <c r="S423" s="22"/>
      <c r="T423" s="233"/>
      <c r="U423" s="233"/>
      <c r="V423" s="233"/>
      <c r="W423" s="233"/>
      <c r="X423" s="233"/>
      <c r="Y423" s="120"/>
      <c r="Z423" s="96">
        <f>SUM(T423:X423)</f>
        <v>0</v>
      </c>
      <c r="AA423" s="97">
        <f>IF(C423=2011, Z423/3,Z423)+Y423</f>
        <v>0</v>
      </c>
      <c r="AB423" s="22"/>
      <c r="AC423" s="41"/>
      <c r="AD423" s="41"/>
      <c r="AE423" s="41"/>
      <c r="AF423" s="41"/>
      <c r="AG423" s="41"/>
      <c r="AH423" s="41"/>
      <c r="AI423" s="41"/>
      <c r="AJ423" s="95"/>
      <c r="AK423" s="96"/>
      <c r="AL423" s="97"/>
    </row>
    <row r="424" spans="1:38" x14ac:dyDescent="0.25">
      <c r="A424" s="53" t="s">
        <v>1079</v>
      </c>
      <c r="B424" s="84" t="s">
        <v>1006</v>
      </c>
      <c r="C424" s="54">
        <v>2011</v>
      </c>
      <c r="D424" s="1">
        <f t="shared" si="25"/>
        <v>0</v>
      </c>
      <c r="F424" s="219">
        <f>0</f>
        <v>0</v>
      </c>
      <c r="I424" s="233"/>
      <c r="J424" s="233"/>
      <c r="K424" s="233"/>
      <c r="L424" s="233"/>
      <c r="M424" s="233"/>
      <c r="N424" s="233"/>
      <c r="O424" s="233"/>
      <c r="P424" s="120"/>
      <c r="Q424" s="96"/>
      <c r="R424" s="97"/>
      <c r="S424" s="22"/>
      <c r="T424" s="233"/>
      <c r="U424" s="233"/>
      <c r="V424" s="233"/>
      <c r="W424" s="233"/>
      <c r="X424" s="233"/>
      <c r="Y424" s="120"/>
      <c r="Z424" s="96"/>
      <c r="AA424" s="97"/>
      <c r="AB424" s="22"/>
      <c r="AC424" s="41"/>
      <c r="AD424" s="41"/>
      <c r="AE424" s="41"/>
      <c r="AF424" s="41"/>
      <c r="AG424" s="41"/>
      <c r="AH424" s="41"/>
      <c r="AI424" s="41"/>
      <c r="AJ424" s="95"/>
      <c r="AK424" s="96"/>
      <c r="AL424" s="97"/>
    </row>
    <row r="425" spans="1:38" x14ac:dyDescent="0.25">
      <c r="A425" s="53" t="s">
        <v>1086</v>
      </c>
      <c r="B425" s="84" t="s">
        <v>232</v>
      </c>
      <c r="C425" s="54">
        <v>2011</v>
      </c>
      <c r="D425" s="1">
        <f t="shared" si="25"/>
        <v>24</v>
      </c>
      <c r="E425" s="233">
        <f>17+3</f>
        <v>20</v>
      </c>
      <c r="F425" s="219">
        <f>2+2</f>
        <v>4</v>
      </c>
      <c r="I425" s="233"/>
      <c r="J425" s="233"/>
      <c r="K425" s="233"/>
      <c r="L425" s="233"/>
      <c r="M425" s="233"/>
      <c r="N425" s="233"/>
      <c r="O425" s="233"/>
      <c r="P425" s="120"/>
      <c r="Q425" s="96"/>
      <c r="R425" s="97"/>
      <c r="S425" s="22"/>
      <c r="T425" s="233"/>
      <c r="U425" s="233"/>
      <c r="V425" s="233"/>
      <c r="W425" s="233"/>
      <c r="X425" s="233"/>
      <c r="Y425" s="120"/>
      <c r="Z425" s="96"/>
      <c r="AA425" s="97"/>
      <c r="AB425" s="22"/>
      <c r="AC425" s="41"/>
      <c r="AD425" s="41"/>
      <c r="AE425" s="41"/>
      <c r="AF425" s="41"/>
      <c r="AG425" s="41"/>
      <c r="AH425" s="41"/>
      <c r="AI425" s="41"/>
      <c r="AJ425" s="95"/>
      <c r="AK425" s="96"/>
      <c r="AL425" s="97"/>
    </row>
    <row r="426" spans="1:38" x14ac:dyDescent="0.25">
      <c r="A426" s="53" t="s">
        <v>978</v>
      </c>
      <c r="B426" s="84" t="s">
        <v>63</v>
      </c>
      <c r="C426" s="54">
        <v>2011</v>
      </c>
      <c r="D426" s="1">
        <f t="shared" si="25"/>
        <v>36</v>
      </c>
      <c r="I426" s="233">
        <f>19</f>
        <v>19</v>
      </c>
      <c r="J426" s="233">
        <f>14+3</f>
        <v>17</v>
      </c>
      <c r="K426" s="233"/>
      <c r="L426" s="233"/>
      <c r="M426" s="233"/>
      <c r="N426" s="233"/>
      <c r="O426" s="233">
        <f>AA426</f>
        <v>0</v>
      </c>
      <c r="P426" s="120"/>
      <c r="Q426" s="96">
        <f>I426+J426+K426+L426+M426+N426+O426</f>
        <v>36</v>
      </c>
      <c r="R426" s="97">
        <f>IF(C426=2012, Q426/3,Q426)+P426</f>
        <v>36</v>
      </c>
      <c r="S426" s="22"/>
      <c r="T426" s="233"/>
      <c r="U426" s="233"/>
      <c r="V426" s="233"/>
      <c r="W426" s="233"/>
      <c r="X426" s="233"/>
      <c r="Y426" s="120"/>
      <c r="Z426" s="96">
        <f>SUM(T426:X426)</f>
        <v>0</v>
      </c>
      <c r="AA426" s="97">
        <f>IF(C426=2011, Z426/3,Z426)+Y426</f>
        <v>0</v>
      </c>
      <c r="AB426" s="22"/>
      <c r="AC426" s="41"/>
      <c r="AD426" s="41"/>
      <c r="AE426" s="41"/>
      <c r="AF426" s="41"/>
      <c r="AG426" s="41"/>
      <c r="AH426" s="41"/>
      <c r="AI426" s="41"/>
      <c r="AJ426" s="95"/>
      <c r="AK426" s="96"/>
      <c r="AL426" s="97"/>
    </row>
    <row r="427" spans="1:38" x14ac:dyDescent="0.25">
      <c r="A427" s="53" t="s">
        <v>1084</v>
      </c>
      <c r="B427" s="84" t="s">
        <v>232</v>
      </c>
      <c r="C427" s="54">
        <v>2011</v>
      </c>
      <c r="D427" s="1">
        <f t="shared" si="25"/>
        <v>34</v>
      </c>
      <c r="E427" s="233">
        <f>26+2</f>
        <v>28</v>
      </c>
      <c r="F427" s="219">
        <f>6</f>
        <v>6</v>
      </c>
      <c r="I427" s="233"/>
      <c r="J427" s="233"/>
      <c r="K427" s="233"/>
      <c r="L427" s="233"/>
      <c r="M427" s="233"/>
      <c r="N427" s="233"/>
      <c r="O427" s="233"/>
      <c r="P427" s="120"/>
      <c r="Q427" s="96"/>
      <c r="R427" s="97"/>
      <c r="S427" s="22"/>
      <c r="T427" s="233"/>
      <c r="U427" s="233"/>
      <c r="V427" s="233"/>
      <c r="W427" s="233"/>
      <c r="X427" s="233"/>
      <c r="Y427" s="120"/>
      <c r="Z427" s="96"/>
      <c r="AA427" s="97"/>
      <c r="AB427" s="22"/>
      <c r="AC427" s="41"/>
      <c r="AD427" s="41"/>
      <c r="AE427" s="41"/>
      <c r="AF427" s="41"/>
      <c r="AG427" s="41"/>
      <c r="AH427" s="41"/>
      <c r="AI427" s="41"/>
      <c r="AJ427" s="95"/>
      <c r="AK427" s="96"/>
      <c r="AL427" s="97"/>
    </row>
    <row r="428" spans="1:38" x14ac:dyDescent="0.25">
      <c r="A428" s="11" t="s">
        <v>1213</v>
      </c>
      <c r="B428" s="87" t="s">
        <v>87</v>
      </c>
      <c r="C428" s="3">
        <v>2010</v>
      </c>
      <c r="D428" s="1">
        <f>R428+F428+E428+G428</f>
        <v>21</v>
      </c>
      <c r="E428" s="233">
        <f>0</f>
        <v>0</v>
      </c>
      <c r="G428" s="219">
        <f>21</f>
        <v>21</v>
      </c>
    </row>
    <row r="429" spans="1:38" x14ac:dyDescent="0.25">
      <c r="A429" s="53" t="s">
        <v>1050</v>
      </c>
      <c r="B429" s="84" t="s">
        <v>86</v>
      </c>
      <c r="C429" s="54">
        <v>2011</v>
      </c>
      <c r="D429" s="1">
        <f t="shared" ref="D429:D435" si="31">R429+F429+E429</f>
        <v>17</v>
      </c>
      <c r="I429" s="233">
        <f>17</f>
        <v>17</v>
      </c>
      <c r="J429" s="233"/>
      <c r="K429" s="233"/>
      <c r="L429" s="233"/>
      <c r="M429" s="233"/>
      <c r="N429" s="233"/>
      <c r="O429" s="233">
        <f>AA429</f>
        <v>0</v>
      </c>
      <c r="P429" s="120"/>
      <c r="Q429" s="96">
        <f>I429+J429+K429+L429+M429+N429+O429</f>
        <v>17</v>
      </c>
      <c r="R429" s="97">
        <f>IF(C429=2012, Q429/3,Q429)+P429</f>
        <v>17</v>
      </c>
      <c r="S429" s="22"/>
      <c r="T429" s="233"/>
      <c r="U429" s="233"/>
      <c r="V429" s="233"/>
      <c r="W429" s="233"/>
      <c r="X429" s="233"/>
      <c r="Y429" s="120"/>
      <c r="Z429" s="96">
        <f>SUM(T429:X429)</f>
        <v>0</v>
      </c>
      <c r="AA429" s="97">
        <f>IF(C429=2011, Z429/3,Z429)+Y429</f>
        <v>0</v>
      </c>
      <c r="AB429" s="22"/>
      <c r="AC429" s="41"/>
      <c r="AD429" s="41"/>
      <c r="AE429" s="41"/>
      <c r="AF429" s="41"/>
      <c r="AG429" s="41"/>
      <c r="AH429" s="41"/>
      <c r="AI429" s="41"/>
      <c r="AJ429" s="95"/>
      <c r="AK429" s="96"/>
      <c r="AL429" s="97"/>
    </row>
    <row r="430" spans="1:38" x14ac:dyDescent="0.25">
      <c r="A430" s="53" t="s">
        <v>1067</v>
      </c>
      <c r="B430" s="84" t="s">
        <v>86</v>
      </c>
      <c r="C430" s="54">
        <v>2010</v>
      </c>
      <c r="D430" s="1">
        <f t="shared" si="31"/>
        <v>0</v>
      </c>
      <c r="I430" s="233">
        <f>0</f>
        <v>0</v>
      </c>
      <c r="J430" s="233"/>
      <c r="K430" s="233"/>
      <c r="L430" s="233"/>
      <c r="M430" s="233"/>
      <c r="N430" s="233"/>
      <c r="O430" s="233">
        <f>AA430</f>
        <v>0</v>
      </c>
      <c r="P430" s="120"/>
      <c r="Q430" s="96">
        <f>I430+J430+K430+L430+M430+N430+O430</f>
        <v>0</v>
      </c>
      <c r="R430" s="97">
        <f>IF(C430=2012, Q430/3,Q430)+P430</f>
        <v>0</v>
      </c>
      <c r="S430" s="22"/>
      <c r="T430" s="233"/>
      <c r="U430" s="233"/>
      <c r="V430" s="233"/>
      <c r="W430" s="233"/>
      <c r="X430" s="233"/>
      <c r="Y430" s="120"/>
      <c r="Z430" s="96">
        <f>SUM(T430:X430)</f>
        <v>0</v>
      </c>
      <c r="AA430" s="97">
        <f>IF(C430=2011, Z430/3,Z430)+Y430</f>
        <v>0</v>
      </c>
      <c r="AB430" s="22"/>
      <c r="AC430" s="41"/>
      <c r="AD430" s="41"/>
      <c r="AE430" s="41"/>
      <c r="AF430" s="41"/>
      <c r="AG430" s="41"/>
      <c r="AH430" s="41"/>
      <c r="AI430" s="41"/>
      <c r="AJ430" s="95"/>
      <c r="AK430" s="96"/>
      <c r="AL430" s="97"/>
    </row>
    <row r="431" spans="1:38" x14ac:dyDescent="0.25">
      <c r="A431" s="11" t="s">
        <v>1003</v>
      </c>
      <c r="B431" s="60" t="s">
        <v>86</v>
      </c>
      <c r="C431" s="62">
        <v>2012</v>
      </c>
      <c r="D431" s="1">
        <f t="shared" si="31"/>
        <v>8.6666666666666661</v>
      </c>
      <c r="I431" s="233">
        <f>26</f>
        <v>26</v>
      </c>
      <c r="J431" s="233"/>
      <c r="K431" s="233"/>
      <c r="L431" s="233"/>
      <c r="M431" s="233"/>
      <c r="N431" s="233"/>
      <c r="O431" s="233">
        <f>AA431</f>
        <v>0</v>
      </c>
      <c r="P431" s="154"/>
      <c r="Q431" s="96">
        <f>I431+J431+K431+L431+M431+N431+O431</f>
        <v>26</v>
      </c>
      <c r="R431" s="97">
        <f>IF(C431=2012, Q431/3,Q431)+P431</f>
        <v>8.6666666666666661</v>
      </c>
      <c r="U431" s="233"/>
      <c r="V431" s="233"/>
      <c r="W431" s="233"/>
      <c r="X431" s="233"/>
      <c r="Y431" s="120"/>
      <c r="Z431" s="96">
        <f>SUM(T431:X431)</f>
        <v>0</v>
      </c>
      <c r="AA431" s="97">
        <f>IF(C431=2011, Z431/3,Z431)+Y431</f>
        <v>0</v>
      </c>
      <c r="AB431" s="22"/>
      <c r="AC431" s="233"/>
      <c r="AD431" s="233"/>
      <c r="AE431" s="233"/>
      <c r="AF431" s="233"/>
      <c r="AG431" s="233"/>
      <c r="AH431" s="233"/>
      <c r="AI431" s="36"/>
      <c r="AJ431" s="95"/>
      <c r="AK431" s="96"/>
      <c r="AL431" s="97"/>
    </row>
    <row r="432" spans="1:38" x14ac:dyDescent="0.25">
      <c r="A432" s="60" t="s">
        <v>1085</v>
      </c>
      <c r="B432" s="65" t="s">
        <v>232</v>
      </c>
      <c r="C432" s="62">
        <v>2010</v>
      </c>
      <c r="D432" s="1">
        <f t="shared" si="31"/>
        <v>33</v>
      </c>
      <c r="E432" s="233">
        <f>24+3</f>
        <v>27</v>
      </c>
      <c r="F432" s="219">
        <f>4+2</f>
        <v>6</v>
      </c>
      <c r="I432" s="233"/>
      <c r="J432" s="233"/>
      <c r="K432" s="233"/>
      <c r="L432" s="233"/>
      <c r="M432" s="233"/>
      <c r="N432" s="233"/>
      <c r="O432" s="233"/>
      <c r="P432" s="120"/>
      <c r="Q432" s="96"/>
      <c r="R432" s="97"/>
      <c r="S432" s="22"/>
      <c r="T432" s="233"/>
      <c r="U432" s="233"/>
      <c r="V432" s="233"/>
      <c r="W432" s="233"/>
      <c r="X432" s="233"/>
      <c r="Y432" s="120"/>
      <c r="Z432" s="96"/>
      <c r="AA432" s="97"/>
      <c r="AB432" s="22"/>
      <c r="AJ432" s="95"/>
      <c r="AK432" s="96"/>
      <c r="AL432" s="97"/>
    </row>
    <row r="433" spans="1:38" x14ac:dyDescent="0.25">
      <c r="A433" s="11" t="s">
        <v>1179</v>
      </c>
      <c r="B433" s="87" t="s">
        <v>87</v>
      </c>
      <c r="C433" s="3">
        <v>2011</v>
      </c>
      <c r="D433" s="1">
        <f t="shared" si="31"/>
        <v>3</v>
      </c>
      <c r="E433" s="233">
        <f>3</f>
        <v>3</v>
      </c>
    </row>
    <row r="434" spans="1:38" x14ac:dyDescent="0.25">
      <c r="A434" s="11" t="s">
        <v>1160</v>
      </c>
      <c r="B434" s="60" t="s">
        <v>232</v>
      </c>
      <c r="C434" s="62">
        <v>2009</v>
      </c>
      <c r="D434" s="1">
        <f t="shared" si="31"/>
        <v>38</v>
      </c>
      <c r="E434" s="233">
        <f>23+15</f>
        <v>38</v>
      </c>
      <c r="I434" s="233"/>
      <c r="J434" s="233"/>
      <c r="K434" s="233"/>
      <c r="L434" s="233"/>
      <c r="M434" s="233"/>
      <c r="N434" s="233"/>
      <c r="O434" s="233"/>
      <c r="P434" s="154"/>
      <c r="Q434" s="96"/>
      <c r="R434" s="97"/>
      <c r="U434" s="233"/>
      <c r="V434" s="233"/>
      <c r="W434" s="233"/>
      <c r="X434" s="233"/>
      <c r="Y434" s="120"/>
      <c r="Z434" s="96"/>
      <c r="AA434" s="97"/>
      <c r="AB434" s="22"/>
      <c r="AC434" s="233"/>
      <c r="AD434" s="233"/>
      <c r="AE434" s="233"/>
      <c r="AF434" s="233"/>
      <c r="AG434" s="233"/>
      <c r="AH434" s="233"/>
      <c r="AI434" s="36"/>
      <c r="AJ434" s="95"/>
      <c r="AK434" s="96"/>
      <c r="AL434" s="97"/>
    </row>
    <row r="435" spans="1:38" x14ac:dyDescent="0.25">
      <c r="A435" s="11" t="s">
        <v>1031</v>
      </c>
      <c r="B435" s="11" t="s">
        <v>86</v>
      </c>
      <c r="C435" s="3">
        <v>2012</v>
      </c>
      <c r="D435" s="1">
        <f t="shared" si="31"/>
        <v>0</v>
      </c>
      <c r="I435" s="233">
        <f>0</f>
        <v>0</v>
      </c>
      <c r="J435" s="233"/>
      <c r="K435" s="233"/>
      <c r="L435" s="233"/>
      <c r="M435" s="233"/>
      <c r="N435" s="233"/>
      <c r="O435" s="233">
        <f>AA435</f>
        <v>0</v>
      </c>
      <c r="P435" s="233"/>
      <c r="Q435" s="96">
        <f>I435+J435+K435+L435+M435+N435+O435</f>
        <v>0</v>
      </c>
      <c r="R435" s="97">
        <f>IF(C435=2012, Q435/3,Q435)+P435</f>
        <v>0</v>
      </c>
      <c r="U435" s="233"/>
      <c r="V435" s="233"/>
      <c r="W435" s="233"/>
      <c r="X435" s="233"/>
      <c r="Y435" s="233"/>
      <c r="Z435" s="96">
        <f>SUM(T435:X435)</f>
        <v>0</v>
      </c>
      <c r="AA435" s="97">
        <f>IF(C435=2011, Z435/3,Z435)+Y435</f>
        <v>0</v>
      </c>
      <c r="AB435" s="36"/>
      <c r="AC435" s="233"/>
      <c r="AD435" s="233"/>
      <c r="AE435" s="233"/>
      <c r="AF435" s="233"/>
      <c r="AG435" s="233"/>
      <c r="AH435" s="233"/>
      <c r="AI435" s="36"/>
    </row>
  </sheetData>
  <autoFilter ref="B1:B414" xr:uid="{00000000-0001-0000-0300-000000000000}"/>
  <sortState xmlns:xlrd2="http://schemas.microsoft.com/office/spreadsheetml/2017/richdata2" ref="A21:BE335">
    <sortCondition ref="A335"/>
  </sortState>
  <mergeCells count="8">
    <mergeCell ref="A336:C336"/>
    <mergeCell ref="A5:C5"/>
    <mergeCell ref="A20:C20"/>
    <mergeCell ref="A1:C2"/>
    <mergeCell ref="AC3:AI3"/>
    <mergeCell ref="T3:X3"/>
    <mergeCell ref="M3:N3"/>
    <mergeCell ref="E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322"/>
  <sheetViews>
    <sheetView zoomScale="106" zoomScaleNormal="106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F47" sqref="F47"/>
    </sheetView>
  </sheetViews>
  <sheetFormatPr defaultRowHeight="15" x14ac:dyDescent="0.25"/>
  <cols>
    <col min="1" max="1" width="19.7109375" style="11" bestFit="1" customWidth="1"/>
    <col min="2" max="2" width="19.42578125" style="3" bestFit="1" customWidth="1"/>
    <col min="3" max="3" width="8.140625" style="3" bestFit="1" customWidth="1"/>
    <col min="4" max="4" width="12.140625" style="7" customWidth="1"/>
    <col min="5" max="5" width="12.28515625" style="233" customWidth="1"/>
    <col min="6" max="6" width="12.28515625" style="219" customWidth="1"/>
    <col min="7" max="7" width="11" style="219" customWidth="1"/>
    <col min="8" max="8" width="2.85546875" style="219" customWidth="1"/>
    <col min="9" max="15" width="12.42578125" style="13" customWidth="1"/>
    <col min="16" max="16" width="10.28515625" style="13" customWidth="1"/>
    <col min="17" max="18" width="9.140625" style="3"/>
    <col min="19" max="19" width="3.42578125" style="13" customWidth="1"/>
    <col min="20" max="20" width="12.42578125" style="13" customWidth="1"/>
    <col min="21" max="25" width="10.28515625" style="13" customWidth="1"/>
    <col min="26" max="27" width="9.140625" style="3"/>
    <col min="28" max="28" width="3.42578125" style="13" customWidth="1"/>
    <col min="29" max="29" width="8.85546875" style="13" customWidth="1"/>
    <col min="30" max="32" width="11.7109375" style="13" customWidth="1"/>
    <col min="33" max="33" width="12.5703125" style="13" customWidth="1"/>
    <col min="34" max="34" width="11.7109375" style="13" customWidth="1"/>
    <col min="35" max="35" width="8.85546875" style="13" customWidth="1"/>
    <col min="36" max="36" width="10.85546875" style="3" customWidth="1"/>
    <col min="37" max="16384" width="9.140625" style="3"/>
  </cols>
  <sheetData>
    <row r="1" spans="1:38" ht="15" customHeight="1" x14ac:dyDescent="0.5">
      <c r="A1" s="244" t="s">
        <v>60</v>
      </c>
      <c r="B1" s="245"/>
      <c r="C1" s="245"/>
      <c r="D1" s="55"/>
      <c r="E1" s="102"/>
      <c r="F1" s="102"/>
      <c r="G1" s="102"/>
      <c r="H1" s="102"/>
      <c r="I1" s="55"/>
      <c r="J1" s="55"/>
      <c r="K1" s="55"/>
      <c r="L1" s="55"/>
      <c r="M1" s="55"/>
      <c r="N1" s="55"/>
      <c r="O1" s="55"/>
      <c r="P1" s="55"/>
      <c r="S1" s="55"/>
      <c r="T1" s="55"/>
      <c r="U1" s="55"/>
      <c r="V1" s="55"/>
      <c r="W1" s="55"/>
      <c r="X1" s="55"/>
      <c r="Y1" s="55"/>
      <c r="AB1" s="55"/>
      <c r="AC1" s="55"/>
      <c r="AD1" s="55"/>
      <c r="AE1" s="55"/>
      <c r="AF1" s="55"/>
      <c r="AG1" s="55"/>
      <c r="AH1" s="55"/>
      <c r="AI1" s="55"/>
    </row>
    <row r="2" spans="1:38" ht="15" customHeight="1" x14ac:dyDescent="0.5">
      <c r="A2" s="246"/>
      <c r="B2" s="247"/>
      <c r="C2" s="247"/>
      <c r="D2" s="55"/>
      <c r="E2" s="103"/>
      <c r="F2" s="103"/>
      <c r="G2" s="103"/>
      <c r="H2" s="103"/>
      <c r="I2" s="55"/>
      <c r="J2" s="55"/>
      <c r="K2" s="55"/>
      <c r="L2" s="55"/>
      <c r="M2" s="55"/>
      <c r="N2" s="55"/>
      <c r="O2" s="55"/>
      <c r="P2" s="55"/>
      <c r="S2" s="55"/>
      <c r="T2" s="55"/>
      <c r="U2" s="55"/>
      <c r="V2" s="55"/>
      <c r="W2" s="55"/>
      <c r="X2" s="55"/>
      <c r="Y2" s="55"/>
      <c r="AB2" s="55"/>
      <c r="AC2" s="55"/>
      <c r="AD2" s="55"/>
      <c r="AE2" s="55"/>
      <c r="AF2" s="55"/>
      <c r="AG2" s="55"/>
      <c r="AH2" s="55"/>
      <c r="AI2" s="55"/>
    </row>
    <row r="3" spans="1:38" x14ac:dyDescent="0.25">
      <c r="D3" s="13"/>
      <c r="E3" s="250">
        <v>2025</v>
      </c>
      <c r="F3" s="251"/>
      <c r="H3" s="36"/>
      <c r="I3" s="206"/>
      <c r="J3" s="197"/>
      <c r="K3" s="187"/>
      <c r="L3" s="171"/>
      <c r="M3" s="257">
        <v>2024</v>
      </c>
      <c r="N3" s="257"/>
      <c r="O3" s="218"/>
      <c r="P3" s="145"/>
      <c r="Q3" s="6"/>
      <c r="R3" s="6"/>
      <c r="S3" s="98"/>
      <c r="T3" s="257">
        <v>2023</v>
      </c>
      <c r="U3" s="257"/>
      <c r="V3" s="257"/>
      <c r="W3" s="257"/>
      <c r="X3" s="257"/>
      <c r="Y3" s="258"/>
      <c r="AB3" s="98"/>
      <c r="AC3" s="256">
        <v>2022</v>
      </c>
      <c r="AD3" s="257"/>
      <c r="AE3" s="257"/>
      <c r="AF3" s="257"/>
      <c r="AG3" s="257"/>
      <c r="AH3" s="257"/>
      <c r="AI3" s="258"/>
    </row>
    <row r="4" spans="1:38" s="5" customFormat="1" ht="107.25" customHeight="1" x14ac:dyDescent="0.25">
      <c r="A4" s="5" t="s">
        <v>1</v>
      </c>
      <c r="B4" s="5" t="s">
        <v>2</v>
      </c>
      <c r="C4" s="5" t="s">
        <v>3</v>
      </c>
      <c r="D4" s="49" t="s">
        <v>1091</v>
      </c>
      <c r="E4" s="239" t="s">
        <v>1090</v>
      </c>
      <c r="F4" s="231" t="s">
        <v>4</v>
      </c>
      <c r="G4" s="119" t="s">
        <v>5</v>
      </c>
      <c r="H4" s="231"/>
      <c r="I4" s="210" t="s">
        <v>463</v>
      </c>
      <c r="J4" s="201" t="s">
        <v>392</v>
      </c>
      <c r="K4" s="159" t="s">
        <v>228</v>
      </c>
      <c r="L4" s="159" t="s">
        <v>879</v>
      </c>
      <c r="M4" s="149" t="s">
        <v>292</v>
      </c>
      <c r="N4" s="149" t="s">
        <v>4</v>
      </c>
      <c r="O4" s="226" t="s">
        <v>546</v>
      </c>
      <c r="P4" s="95" t="s">
        <v>5</v>
      </c>
      <c r="Q4" s="96" t="s">
        <v>1073</v>
      </c>
      <c r="R4" s="97" t="s">
        <v>544</v>
      </c>
      <c r="S4" s="144"/>
      <c r="T4" s="139" t="s">
        <v>392</v>
      </c>
      <c r="U4" s="135" t="s">
        <v>228</v>
      </c>
      <c r="V4" s="129" t="s">
        <v>292</v>
      </c>
      <c r="W4" s="129" t="s">
        <v>4</v>
      </c>
      <c r="X4" s="105" t="s">
        <v>546</v>
      </c>
      <c r="Y4" s="95" t="s">
        <v>5</v>
      </c>
      <c r="Z4" s="96" t="s">
        <v>760</v>
      </c>
      <c r="AA4" s="97" t="s">
        <v>544</v>
      </c>
      <c r="AB4" s="90"/>
      <c r="AC4" s="44" t="s">
        <v>4</v>
      </c>
      <c r="AD4" s="59" t="s">
        <v>62</v>
      </c>
      <c r="AE4" s="73" t="s">
        <v>228</v>
      </c>
      <c r="AF4" s="79" t="s">
        <v>292</v>
      </c>
      <c r="AG4" s="81" t="s">
        <v>392</v>
      </c>
      <c r="AH4" s="93" t="s">
        <v>463</v>
      </c>
      <c r="AI4" s="33" t="s">
        <v>34</v>
      </c>
      <c r="AJ4" s="95" t="s">
        <v>5</v>
      </c>
      <c r="AK4" s="96" t="s">
        <v>543</v>
      </c>
      <c r="AL4" s="97" t="s">
        <v>544</v>
      </c>
    </row>
    <row r="5" spans="1:38" s="17" customFormat="1" x14ac:dyDescent="0.25">
      <c r="A5" s="253" t="s">
        <v>13</v>
      </c>
      <c r="B5" s="254"/>
      <c r="C5" s="255"/>
      <c r="D5" s="112"/>
      <c r="E5" s="233"/>
      <c r="F5" s="219"/>
      <c r="G5" s="120"/>
      <c r="H5" s="219"/>
      <c r="I5" s="204"/>
      <c r="J5" s="195"/>
      <c r="K5" s="185"/>
      <c r="L5" s="168"/>
      <c r="M5" s="162"/>
      <c r="N5" s="143"/>
      <c r="O5" s="217"/>
      <c r="P5" s="143"/>
      <c r="Q5" s="96"/>
      <c r="R5" s="97"/>
      <c r="S5" s="143"/>
      <c r="T5" s="137"/>
      <c r="U5" s="133"/>
      <c r="V5" s="114"/>
      <c r="W5" s="112"/>
      <c r="X5" s="112"/>
      <c r="Y5" s="112"/>
      <c r="Z5" s="68"/>
      <c r="AA5" s="68"/>
      <c r="AB5" s="112"/>
      <c r="AC5" s="112"/>
      <c r="AD5" s="112"/>
      <c r="AE5" s="112"/>
      <c r="AF5" s="112"/>
      <c r="AG5" s="112"/>
      <c r="AH5" s="112"/>
      <c r="AI5" s="112"/>
      <c r="AJ5" s="68"/>
      <c r="AK5" s="68"/>
      <c r="AL5" s="68"/>
    </row>
    <row r="6" spans="1:38" x14ac:dyDescent="0.25">
      <c r="A6" s="11" t="s">
        <v>265</v>
      </c>
      <c r="B6" s="11" t="s">
        <v>0</v>
      </c>
      <c r="C6" s="3">
        <v>2012</v>
      </c>
      <c r="D6" s="2">
        <f>R6+E6</f>
        <v>330.33333333333331</v>
      </c>
      <c r="E6" s="233">
        <f>3+18</f>
        <v>21</v>
      </c>
      <c r="G6" s="120"/>
      <c r="I6" s="108"/>
      <c r="J6" s="108">
        <f>18+15</f>
        <v>33</v>
      </c>
      <c r="K6" s="108">
        <f>6+15+6+3</f>
        <v>30</v>
      </c>
      <c r="L6" s="108">
        <f>9+21+6+9</f>
        <v>45</v>
      </c>
      <c r="M6" s="108">
        <f>12+12+15+9</f>
        <v>48</v>
      </c>
      <c r="N6" s="108">
        <f>9+3+3</f>
        <v>15</v>
      </c>
      <c r="O6" s="108">
        <f>AA6</f>
        <v>757</v>
      </c>
      <c r="P6" s="122"/>
      <c r="Q6" s="96">
        <f>I6+J6+K6+L6+M6+N6+O6</f>
        <v>928</v>
      </c>
      <c r="R6" s="97">
        <f>IF(C6=2012, Q6/3,Q6)+P6</f>
        <v>309.33333333333331</v>
      </c>
      <c r="S6" s="141"/>
      <c r="T6" s="108">
        <f>12+12</f>
        <v>24</v>
      </c>
      <c r="U6" s="108">
        <f>18</f>
        <v>18</v>
      </c>
      <c r="V6" s="108">
        <f>147+75</f>
        <v>222</v>
      </c>
      <c r="W6" s="108">
        <f>18+57+3+3</f>
        <v>81</v>
      </c>
      <c r="X6" s="108">
        <f>AL6</f>
        <v>412</v>
      </c>
      <c r="Y6" s="122"/>
      <c r="Z6" s="96">
        <f>SUM(T6:X6)</f>
        <v>757</v>
      </c>
      <c r="AA6" s="97">
        <f>IF(C6=2016, Z6/3,Z6)+Y6</f>
        <v>757</v>
      </c>
      <c r="AB6" s="91"/>
      <c r="AE6" s="13">
        <f>21+15</f>
        <v>36</v>
      </c>
      <c r="AF6" s="13">
        <f>36+24</f>
        <v>60</v>
      </c>
      <c r="AG6" s="13">
        <f>12+45</f>
        <v>57</v>
      </c>
      <c r="AH6" s="13">
        <f>30+72+3+3</f>
        <v>108</v>
      </c>
      <c r="AI6" s="13">
        <f>151</f>
        <v>151</v>
      </c>
      <c r="AJ6" s="95"/>
      <c r="AK6" s="96">
        <f>SUM(AC6:AI6)</f>
        <v>412</v>
      </c>
      <c r="AL6" s="97">
        <f>IF(C6=2015, AK6/3,AK6)+AJ6</f>
        <v>412</v>
      </c>
    </row>
    <row r="7" spans="1:38" s="17" customFormat="1" x14ac:dyDescent="0.25">
      <c r="A7" s="253" t="s">
        <v>14</v>
      </c>
      <c r="B7" s="254"/>
      <c r="C7" s="255"/>
      <c r="D7" s="232"/>
      <c r="E7" s="233"/>
      <c r="F7" s="219"/>
      <c r="G7" s="154"/>
      <c r="H7" s="219"/>
      <c r="I7" s="204"/>
      <c r="J7" s="195"/>
      <c r="K7" s="185"/>
      <c r="L7" s="168"/>
      <c r="M7" s="162"/>
      <c r="N7" s="143"/>
      <c r="O7" s="108"/>
      <c r="P7" s="143"/>
      <c r="Q7" s="96"/>
      <c r="R7" s="97"/>
      <c r="S7" s="143"/>
      <c r="T7" s="137"/>
      <c r="U7" s="133"/>
      <c r="V7" s="114"/>
      <c r="W7" s="112"/>
      <c r="X7" s="112"/>
      <c r="Y7" s="112"/>
      <c r="Z7" s="68"/>
      <c r="AA7" s="68"/>
      <c r="AB7" s="112"/>
      <c r="AC7" s="112"/>
      <c r="AD7" s="112"/>
      <c r="AE7" s="112"/>
      <c r="AF7" s="112"/>
      <c r="AG7" s="112"/>
      <c r="AH7" s="112"/>
      <c r="AI7" s="112"/>
      <c r="AJ7" s="68"/>
      <c r="AK7" s="68"/>
      <c r="AL7" s="68"/>
    </row>
    <row r="8" spans="1:38" s="17" customFormat="1" x14ac:dyDescent="0.25">
      <c r="A8" s="76" t="s">
        <v>529</v>
      </c>
      <c r="B8" s="71" t="s">
        <v>7</v>
      </c>
      <c r="C8" s="3">
        <v>2010</v>
      </c>
      <c r="D8" s="2">
        <f t="shared" ref="D8:D35" si="0">R8+E8</f>
        <v>1</v>
      </c>
      <c r="E8" s="233"/>
      <c r="F8" s="219"/>
      <c r="G8" s="120"/>
      <c r="H8" s="219"/>
      <c r="I8" s="108"/>
      <c r="J8" s="108"/>
      <c r="K8" s="108"/>
      <c r="L8" s="108"/>
      <c r="M8" s="108"/>
      <c r="N8" s="108"/>
      <c r="O8" s="108">
        <f t="shared" ref="O8:O35" si="1">AA8</f>
        <v>1</v>
      </c>
      <c r="P8" s="122"/>
      <c r="Q8" s="96">
        <f t="shared" ref="Q8:Q35" si="2">I8+J8+K8+L8+M8+N8+O8</f>
        <v>1</v>
      </c>
      <c r="R8" s="97">
        <f>IF(C8=2012, Q8/3,Q8)+P8</f>
        <v>1</v>
      </c>
      <c r="S8" s="143"/>
      <c r="T8" s="108"/>
      <c r="U8" s="108"/>
      <c r="V8" s="108">
        <f>0</f>
        <v>0</v>
      </c>
      <c r="W8" s="108">
        <f>1</f>
        <v>1</v>
      </c>
      <c r="X8" s="108"/>
      <c r="Y8" s="122"/>
      <c r="Z8" s="96">
        <f t="shared" ref="Z8:Z32" si="3">SUM(T8:X8)</f>
        <v>1</v>
      </c>
      <c r="AA8" s="97">
        <f>IF(C8=2011, Z8/3,Z8)+Y8</f>
        <v>1</v>
      </c>
      <c r="AB8" s="91"/>
      <c r="AC8" s="41"/>
      <c r="AD8" s="41"/>
      <c r="AE8" s="41"/>
      <c r="AF8" s="41"/>
      <c r="AG8" s="41"/>
      <c r="AH8" s="41">
        <f>2</f>
        <v>2</v>
      </c>
      <c r="AI8" s="41"/>
      <c r="AJ8" s="95"/>
      <c r="AK8" s="96">
        <f t="shared" ref="AK8:AK18" si="4">SUM(AC8:AI8)</f>
        <v>2</v>
      </c>
      <c r="AL8" s="97">
        <f>IF(C8=2010, AK8/3,AK8)+AJ8</f>
        <v>0.66666666666666663</v>
      </c>
    </row>
    <row r="9" spans="1:38" x14ac:dyDescent="0.25">
      <c r="A9" s="11" t="s">
        <v>27</v>
      </c>
      <c r="B9" s="11" t="s">
        <v>6</v>
      </c>
      <c r="C9" s="3">
        <v>2010</v>
      </c>
      <c r="D9" s="2">
        <f t="shared" si="0"/>
        <v>186</v>
      </c>
      <c r="G9" s="154"/>
      <c r="I9" s="108"/>
      <c r="J9" s="108"/>
      <c r="K9" s="108"/>
      <c r="L9" s="108"/>
      <c r="M9" s="108"/>
      <c r="N9" s="108"/>
      <c r="O9" s="108">
        <f t="shared" si="1"/>
        <v>186</v>
      </c>
      <c r="P9" s="122"/>
      <c r="Q9" s="96">
        <f t="shared" si="2"/>
        <v>186</v>
      </c>
      <c r="R9" s="97">
        <f t="shared" ref="R9:R12" si="5">IF(C9=2012, Q9/3,Q9)+P9</f>
        <v>186</v>
      </c>
      <c r="S9" s="143"/>
      <c r="T9" s="108"/>
      <c r="U9" s="108"/>
      <c r="V9" s="108"/>
      <c r="W9" s="108"/>
      <c r="X9" s="108">
        <f t="shared" ref="X9:X18" si="6">AL9</f>
        <v>186</v>
      </c>
      <c r="Y9" s="122"/>
      <c r="Z9" s="96">
        <f t="shared" si="3"/>
        <v>186</v>
      </c>
      <c r="AA9" s="97">
        <f>IF(C9=2011, Z9/3,Z9)+Y9</f>
        <v>186</v>
      </c>
      <c r="AB9" s="91"/>
      <c r="AC9" s="41">
        <f>6</f>
        <v>6</v>
      </c>
      <c r="AD9" s="41"/>
      <c r="AE9" s="41">
        <f>18+12</f>
        <v>30</v>
      </c>
      <c r="AF9" s="41">
        <f>27+15</f>
        <v>42</v>
      </c>
      <c r="AG9" s="41"/>
      <c r="AH9" s="41"/>
      <c r="AI9" s="41">
        <v>480</v>
      </c>
      <c r="AJ9" s="95"/>
      <c r="AK9" s="96">
        <f t="shared" si="4"/>
        <v>558</v>
      </c>
      <c r="AL9" s="97">
        <f>IF(C9=2010, AK9/3,AK9)+AJ9</f>
        <v>186</v>
      </c>
    </row>
    <row r="10" spans="1:38" x14ac:dyDescent="0.25">
      <c r="A10" s="11" t="s">
        <v>342</v>
      </c>
      <c r="B10" s="11" t="s">
        <v>232</v>
      </c>
      <c r="C10" s="3">
        <v>2011</v>
      </c>
      <c r="D10" s="2">
        <f t="shared" si="0"/>
        <v>139</v>
      </c>
      <c r="E10" s="156"/>
      <c r="F10" s="156"/>
      <c r="G10" s="154"/>
      <c r="H10" s="156"/>
      <c r="I10" s="108"/>
      <c r="J10" s="108"/>
      <c r="K10" s="108"/>
      <c r="L10" s="108"/>
      <c r="M10" s="108"/>
      <c r="N10" s="108"/>
      <c r="O10" s="108">
        <f t="shared" si="1"/>
        <v>139</v>
      </c>
      <c r="P10" s="122"/>
      <c r="Q10" s="96">
        <f t="shared" si="2"/>
        <v>139</v>
      </c>
      <c r="R10" s="97">
        <f t="shared" si="5"/>
        <v>139</v>
      </c>
      <c r="S10" s="141"/>
      <c r="T10" s="108"/>
      <c r="U10" s="108"/>
      <c r="V10" s="108"/>
      <c r="W10" s="108">
        <f>15</f>
        <v>15</v>
      </c>
      <c r="X10" s="108">
        <f t="shared" si="6"/>
        <v>124</v>
      </c>
      <c r="Y10" s="122"/>
      <c r="Z10" s="96">
        <f t="shared" si="3"/>
        <v>139</v>
      </c>
      <c r="AA10" s="97">
        <f>IF(C10=2016, Z10/3,Z10)+Y10</f>
        <v>139</v>
      </c>
      <c r="AB10" s="91"/>
      <c r="AF10" s="13">
        <f>39</f>
        <v>39</v>
      </c>
      <c r="AH10" s="13">
        <f>33</f>
        <v>33</v>
      </c>
      <c r="AI10" s="13">
        <f>52</f>
        <v>52</v>
      </c>
      <c r="AJ10" s="95"/>
      <c r="AK10" s="96">
        <f t="shared" si="4"/>
        <v>124</v>
      </c>
      <c r="AL10" s="97">
        <f>IF(C10=2015, AK10/3,AK10)+AJ10</f>
        <v>124</v>
      </c>
    </row>
    <row r="11" spans="1:38" s="52" customFormat="1" x14ac:dyDescent="0.25">
      <c r="A11" s="11" t="s">
        <v>106</v>
      </c>
      <c r="B11" s="11" t="s">
        <v>64</v>
      </c>
      <c r="C11" s="3">
        <v>2012</v>
      </c>
      <c r="D11" s="2">
        <f t="shared" si="0"/>
        <v>5.666666666666667</v>
      </c>
      <c r="E11" s="233"/>
      <c r="F11" s="219"/>
      <c r="G11" s="120"/>
      <c r="H11" s="219"/>
      <c r="I11" s="108"/>
      <c r="J11" s="108"/>
      <c r="K11" s="108"/>
      <c r="L11" s="108"/>
      <c r="M11" s="108"/>
      <c r="N11" s="108"/>
      <c r="O11" s="108">
        <f t="shared" si="1"/>
        <v>17</v>
      </c>
      <c r="P11" s="122"/>
      <c r="Q11" s="96">
        <f t="shared" si="2"/>
        <v>17</v>
      </c>
      <c r="R11" s="97">
        <f t="shared" si="5"/>
        <v>5.666666666666667</v>
      </c>
      <c r="S11" s="141"/>
      <c r="T11" s="108"/>
      <c r="U11" s="108"/>
      <c r="V11" s="108"/>
      <c r="W11" s="108"/>
      <c r="X11" s="108">
        <f>AL11</f>
        <v>17</v>
      </c>
      <c r="Y11" s="122"/>
      <c r="Z11" s="96">
        <f>SUM(T11:X11)</f>
        <v>17</v>
      </c>
      <c r="AA11" s="97">
        <f>IF(C11=2016, Z11/3,Z11)+Y11</f>
        <v>17</v>
      </c>
      <c r="AB11" s="91"/>
      <c r="AC11" s="13"/>
      <c r="AD11" s="13">
        <v>12</v>
      </c>
      <c r="AE11" s="13"/>
      <c r="AF11" s="13"/>
      <c r="AG11" s="13"/>
      <c r="AH11" s="13"/>
      <c r="AI11" s="13">
        <f>5</f>
        <v>5</v>
      </c>
      <c r="AJ11" s="95"/>
      <c r="AK11" s="96">
        <f>SUM(AC11:AI11)</f>
        <v>17</v>
      </c>
      <c r="AL11" s="97">
        <f>IF(C11=2015, AK11/3,AK11)+AJ11</f>
        <v>17</v>
      </c>
    </row>
    <row r="12" spans="1:38" s="52" customFormat="1" x14ac:dyDescent="0.25">
      <c r="A12" s="11" t="s">
        <v>344</v>
      </c>
      <c r="B12" s="11" t="s">
        <v>0</v>
      </c>
      <c r="C12" s="3">
        <v>2011</v>
      </c>
      <c r="D12" s="2">
        <f t="shared" si="0"/>
        <v>168</v>
      </c>
      <c r="E12" s="233">
        <f>2</f>
        <v>2</v>
      </c>
      <c r="F12" s="219"/>
      <c r="G12" s="154"/>
      <c r="H12" s="219"/>
      <c r="I12" s="108">
        <f>3</f>
        <v>3</v>
      </c>
      <c r="J12" s="108">
        <f>0</f>
        <v>0</v>
      </c>
      <c r="K12" s="108"/>
      <c r="L12" s="108"/>
      <c r="M12" s="108"/>
      <c r="N12" s="108"/>
      <c r="O12" s="108">
        <f t="shared" si="1"/>
        <v>163</v>
      </c>
      <c r="P12" s="122"/>
      <c r="Q12" s="96">
        <f t="shared" si="2"/>
        <v>166</v>
      </c>
      <c r="R12" s="97">
        <f t="shared" si="5"/>
        <v>166</v>
      </c>
      <c r="S12" s="141"/>
      <c r="T12" s="108">
        <f>6</f>
        <v>6</v>
      </c>
      <c r="U12" s="108">
        <f>9</f>
        <v>9</v>
      </c>
      <c r="V12" s="108">
        <f>74</f>
        <v>74</v>
      </c>
      <c r="W12" s="108"/>
      <c r="X12" s="108">
        <f t="shared" si="6"/>
        <v>74</v>
      </c>
      <c r="Y12" s="122"/>
      <c r="Z12" s="96">
        <f t="shared" si="3"/>
        <v>163</v>
      </c>
      <c r="AA12" s="97">
        <f>IF(C12=2016, Z12/3,Z12)+Y12</f>
        <v>163</v>
      </c>
      <c r="AB12" s="91"/>
      <c r="AC12" s="13"/>
      <c r="AD12" s="13"/>
      <c r="AE12" s="13"/>
      <c r="AF12" s="13">
        <f>0</f>
        <v>0</v>
      </c>
      <c r="AG12" s="13">
        <f>6</f>
        <v>6</v>
      </c>
      <c r="AH12" s="13">
        <f>15+3</f>
        <v>18</v>
      </c>
      <c r="AI12" s="13">
        <f>50</f>
        <v>50</v>
      </c>
      <c r="AJ12" s="95"/>
      <c r="AK12" s="96">
        <f t="shared" si="4"/>
        <v>74</v>
      </c>
      <c r="AL12" s="97">
        <f>IF(C12=2015, AK12/3,AK12)+AJ12</f>
        <v>74</v>
      </c>
    </row>
    <row r="13" spans="1:38" x14ac:dyDescent="0.25">
      <c r="A13" s="60" t="s">
        <v>202</v>
      </c>
      <c r="B13" s="65" t="s">
        <v>87</v>
      </c>
      <c r="C13" s="62">
        <v>2009</v>
      </c>
      <c r="D13" s="2">
        <f t="shared" si="0"/>
        <v>12</v>
      </c>
      <c r="E13" s="158"/>
      <c r="F13" s="158"/>
      <c r="G13" s="120"/>
      <c r="H13" s="158"/>
      <c r="I13" s="108"/>
      <c r="J13" s="108"/>
      <c r="K13" s="108"/>
      <c r="L13" s="108"/>
      <c r="M13" s="108"/>
      <c r="N13" s="108"/>
      <c r="O13" s="108">
        <f t="shared" si="1"/>
        <v>12</v>
      </c>
      <c r="P13" s="122"/>
      <c r="Q13" s="96">
        <f t="shared" si="2"/>
        <v>12</v>
      </c>
      <c r="R13" s="97">
        <f t="shared" ref="R13:R31" si="7">IF(C13=2012, Q13/3,Q13)+P13</f>
        <v>12</v>
      </c>
      <c r="S13" s="143"/>
      <c r="T13" s="108"/>
      <c r="U13" s="108"/>
      <c r="V13" s="108"/>
      <c r="W13" s="108"/>
      <c r="X13" s="108">
        <f t="shared" si="6"/>
        <v>12</v>
      </c>
      <c r="Y13" s="122"/>
      <c r="Z13" s="96">
        <f t="shared" si="3"/>
        <v>12</v>
      </c>
      <c r="AA13" s="97">
        <f>IF(C13=2011, Z13/3,Z13)+Y13</f>
        <v>12</v>
      </c>
      <c r="AB13" s="91"/>
      <c r="AC13" s="112"/>
      <c r="AD13" s="50">
        <f>6+6</f>
        <v>12</v>
      </c>
      <c r="AE13" s="50"/>
      <c r="AF13" s="50"/>
      <c r="AG13" s="50"/>
      <c r="AH13" s="50"/>
      <c r="AI13" s="112"/>
      <c r="AJ13" s="95"/>
      <c r="AK13" s="96">
        <f t="shared" si="4"/>
        <v>12</v>
      </c>
      <c r="AL13" s="97">
        <f>IF(C13=2010, AK13/3,AK13)+AJ13</f>
        <v>12</v>
      </c>
    </row>
    <row r="14" spans="1:38" x14ac:dyDescent="0.25">
      <c r="A14" s="21" t="s">
        <v>28</v>
      </c>
      <c r="B14" s="21" t="s">
        <v>23</v>
      </c>
      <c r="C14" s="25">
        <v>2010</v>
      </c>
      <c r="D14" s="2">
        <f t="shared" si="0"/>
        <v>246</v>
      </c>
      <c r="G14" s="120"/>
      <c r="I14" s="108"/>
      <c r="J14" s="108"/>
      <c r="K14" s="108"/>
      <c r="L14" s="108"/>
      <c r="M14" s="108"/>
      <c r="N14" s="108"/>
      <c r="O14" s="108">
        <f t="shared" si="1"/>
        <v>246</v>
      </c>
      <c r="P14" s="122"/>
      <c r="Q14" s="96">
        <f t="shared" si="2"/>
        <v>246</v>
      </c>
      <c r="R14" s="97">
        <f t="shared" si="7"/>
        <v>246</v>
      </c>
      <c r="S14" s="143"/>
      <c r="T14" s="108"/>
      <c r="U14" s="108"/>
      <c r="V14" s="108">
        <f>39+102</f>
        <v>141</v>
      </c>
      <c r="W14" s="108"/>
      <c r="X14" s="108">
        <f t="shared" si="6"/>
        <v>105</v>
      </c>
      <c r="Y14" s="122"/>
      <c r="Z14" s="96">
        <f t="shared" si="3"/>
        <v>246</v>
      </c>
      <c r="AA14" s="97">
        <f>IF(C14=2011, Z14/3,Z14)+Y14</f>
        <v>246</v>
      </c>
      <c r="AB14" s="91"/>
      <c r="AC14" s="41">
        <f>9</f>
        <v>9</v>
      </c>
      <c r="AD14" s="41"/>
      <c r="AE14" s="41"/>
      <c r="AF14" s="41"/>
      <c r="AG14" s="41"/>
      <c r="AH14" s="41"/>
      <c r="AI14" s="41">
        <v>288</v>
      </c>
      <c r="AJ14" s="95">
        <f>6</f>
        <v>6</v>
      </c>
      <c r="AK14" s="96">
        <f t="shared" si="4"/>
        <v>297</v>
      </c>
      <c r="AL14" s="97">
        <f>IF(C14=2010, AK14/3,AK14)+AJ14</f>
        <v>105</v>
      </c>
    </row>
    <row r="15" spans="1:38" s="52" customFormat="1" x14ac:dyDescent="0.25">
      <c r="A15" s="51" t="s">
        <v>372</v>
      </c>
      <c r="B15" s="51" t="s">
        <v>232</v>
      </c>
      <c r="C15" s="52">
        <v>2009</v>
      </c>
      <c r="D15" s="2">
        <f t="shared" si="0"/>
        <v>29</v>
      </c>
      <c r="E15" s="233"/>
      <c r="F15" s="219"/>
      <c r="G15" s="120"/>
      <c r="H15" s="219"/>
      <c r="I15" s="108"/>
      <c r="J15" s="108"/>
      <c r="K15" s="108"/>
      <c r="L15" s="108"/>
      <c r="M15" s="108"/>
      <c r="N15" s="108"/>
      <c r="O15" s="108">
        <f t="shared" si="1"/>
        <v>29</v>
      </c>
      <c r="P15" s="122"/>
      <c r="Q15" s="96">
        <f t="shared" si="2"/>
        <v>29</v>
      </c>
      <c r="R15" s="97">
        <f t="shared" si="7"/>
        <v>29</v>
      </c>
      <c r="S15" s="143"/>
      <c r="T15" s="108"/>
      <c r="U15" s="108"/>
      <c r="V15" s="108"/>
      <c r="W15" s="108"/>
      <c r="X15" s="108">
        <f t="shared" si="6"/>
        <v>29</v>
      </c>
      <c r="Y15" s="122"/>
      <c r="Z15" s="96">
        <f t="shared" si="3"/>
        <v>29</v>
      </c>
      <c r="AA15" s="97">
        <f>IF(C15=2011, Z15/3,Z15)+Y15</f>
        <v>29</v>
      </c>
      <c r="AB15" s="112"/>
      <c r="AC15" s="112"/>
      <c r="AD15" s="112"/>
      <c r="AE15" s="112"/>
      <c r="AF15" s="50">
        <f>29</f>
        <v>29</v>
      </c>
      <c r="AG15" s="50"/>
      <c r="AH15" s="50"/>
      <c r="AI15" s="112"/>
      <c r="AJ15" s="95"/>
      <c r="AK15" s="96">
        <f t="shared" si="4"/>
        <v>29</v>
      </c>
      <c r="AL15" s="97">
        <f>IF(C15=2010, AK15/3,AK15)+AJ15</f>
        <v>29</v>
      </c>
    </row>
    <row r="16" spans="1:38" s="17" customFormat="1" x14ac:dyDescent="0.25">
      <c r="A16" s="76" t="s">
        <v>343</v>
      </c>
      <c r="B16" s="71" t="s">
        <v>86</v>
      </c>
      <c r="C16" s="3">
        <v>2010</v>
      </c>
      <c r="D16" s="2">
        <f t="shared" si="0"/>
        <v>5</v>
      </c>
      <c r="E16" s="233"/>
      <c r="F16" s="219"/>
      <c r="G16" s="154"/>
      <c r="H16" s="219"/>
      <c r="I16" s="108"/>
      <c r="J16" s="108"/>
      <c r="K16" s="108"/>
      <c r="L16" s="108"/>
      <c r="M16" s="108"/>
      <c r="N16" s="108"/>
      <c r="O16" s="108">
        <f t="shared" si="1"/>
        <v>5</v>
      </c>
      <c r="P16" s="122"/>
      <c r="Q16" s="96">
        <f t="shared" si="2"/>
        <v>5</v>
      </c>
      <c r="R16" s="97">
        <f t="shared" si="7"/>
        <v>5</v>
      </c>
      <c r="S16" s="143"/>
      <c r="T16" s="108"/>
      <c r="U16" s="108"/>
      <c r="V16" s="108"/>
      <c r="W16" s="108"/>
      <c r="X16" s="108">
        <f t="shared" si="6"/>
        <v>5</v>
      </c>
      <c r="Y16" s="122"/>
      <c r="Z16" s="96">
        <f t="shared" si="3"/>
        <v>5</v>
      </c>
      <c r="AA16" s="97">
        <f>IF(C16=2011, Z16/3,Z16)+Y16</f>
        <v>5</v>
      </c>
      <c r="AB16" s="91"/>
      <c r="AC16" s="41"/>
      <c r="AD16" s="41"/>
      <c r="AE16" s="41"/>
      <c r="AF16" s="41">
        <f>15</f>
        <v>15</v>
      </c>
      <c r="AG16" s="41"/>
      <c r="AH16" s="41"/>
      <c r="AI16" s="41"/>
      <c r="AJ16" s="95"/>
      <c r="AK16" s="96">
        <f t="shared" si="4"/>
        <v>15</v>
      </c>
      <c r="AL16" s="97">
        <f>IF(C16=2010, AK16/3,AK16)+AJ16</f>
        <v>5</v>
      </c>
    </row>
    <row r="17" spans="1:38" s="17" customFormat="1" x14ac:dyDescent="0.25">
      <c r="A17" s="76" t="s">
        <v>757</v>
      </c>
      <c r="B17" s="71" t="s">
        <v>41</v>
      </c>
      <c r="C17" s="3">
        <v>2011</v>
      </c>
      <c r="D17" s="2">
        <f t="shared" si="0"/>
        <v>100</v>
      </c>
      <c r="E17" s="233">
        <f>0</f>
        <v>0</v>
      </c>
      <c r="F17" s="219"/>
      <c r="G17" s="154"/>
      <c r="H17" s="219"/>
      <c r="I17" s="108">
        <f>26</f>
        <v>26</v>
      </c>
      <c r="J17" s="108">
        <f>3+2</f>
        <v>5</v>
      </c>
      <c r="K17" s="108"/>
      <c r="L17" s="108">
        <f>22+3+1</f>
        <v>26</v>
      </c>
      <c r="M17" s="108">
        <f>18+1</f>
        <v>19</v>
      </c>
      <c r="N17" s="108">
        <f>19+1</f>
        <v>20</v>
      </c>
      <c r="O17" s="108">
        <f t="shared" si="1"/>
        <v>4</v>
      </c>
      <c r="P17" s="122"/>
      <c r="Q17" s="96">
        <f t="shared" si="2"/>
        <v>100</v>
      </c>
      <c r="R17" s="97">
        <f t="shared" si="7"/>
        <v>100</v>
      </c>
      <c r="S17" s="141"/>
      <c r="T17" s="108">
        <f>0</f>
        <v>0</v>
      </c>
      <c r="U17" s="108"/>
      <c r="V17" s="108"/>
      <c r="W17" s="108"/>
      <c r="X17" s="108"/>
      <c r="Y17" s="122">
        <f>4</f>
        <v>4</v>
      </c>
      <c r="Z17" s="96">
        <f>SUM(T17:X17)</f>
        <v>0</v>
      </c>
      <c r="AA17" s="97">
        <f>IF(C17=2016, Z17/3,Z17)+Y17</f>
        <v>4</v>
      </c>
      <c r="AB17" s="137"/>
      <c r="AC17" s="41"/>
      <c r="AD17" s="41"/>
      <c r="AE17" s="41"/>
      <c r="AF17" s="41"/>
      <c r="AG17" s="41"/>
      <c r="AH17" s="41"/>
      <c r="AI17" s="41"/>
      <c r="AJ17" s="95"/>
      <c r="AK17" s="96"/>
      <c r="AL17" s="97"/>
    </row>
    <row r="18" spans="1:38" x14ac:dyDescent="0.25">
      <c r="A18" s="11" t="s">
        <v>105</v>
      </c>
      <c r="B18" s="11" t="s">
        <v>64</v>
      </c>
      <c r="C18" s="3">
        <v>2011</v>
      </c>
      <c r="D18" s="2">
        <f t="shared" si="0"/>
        <v>258</v>
      </c>
      <c r="G18" s="120"/>
      <c r="I18" s="108"/>
      <c r="J18" s="108">
        <f>9</f>
        <v>9</v>
      </c>
      <c r="K18" s="108"/>
      <c r="L18" s="108"/>
      <c r="M18" s="108">
        <f>9+3</f>
        <v>12</v>
      </c>
      <c r="N18" s="108">
        <f>3</f>
        <v>3</v>
      </c>
      <c r="O18" s="108">
        <f t="shared" si="1"/>
        <v>222</v>
      </c>
      <c r="P18" s="122">
        <f>3+6+3</f>
        <v>12</v>
      </c>
      <c r="Q18" s="96">
        <f t="shared" si="2"/>
        <v>246</v>
      </c>
      <c r="R18" s="97">
        <f t="shared" si="7"/>
        <v>258</v>
      </c>
      <c r="S18" s="141"/>
      <c r="T18" s="108"/>
      <c r="U18" s="108">
        <f>6</f>
        <v>6</v>
      </c>
      <c r="V18" s="108">
        <f>171</f>
        <v>171</v>
      </c>
      <c r="W18" s="108">
        <f>9</f>
        <v>9</v>
      </c>
      <c r="X18" s="108">
        <f t="shared" si="6"/>
        <v>30</v>
      </c>
      <c r="Y18" s="122">
        <f>6</f>
        <v>6</v>
      </c>
      <c r="Z18" s="96">
        <f t="shared" si="3"/>
        <v>216</v>
      </c>
      <c r="AA18" s="97">
        <f>IF(C18=2016, Z18/3,Z18)+Y18</f>
        <v>222</v>
      </c>
      <c r="AB18" s="91"/>
      <c r="AD18" s="13">
        <v>15</v>
      </c>
      <c r="AI18" s="13">
        <f>15</f>
        <v>15</v>
      </c>
      <c r="AJ18" s="95"/>
      <c r="AK18" s="96">
        <f t="shared" si="4"/>
        <v>30</v>
      </c>
      <c r="AL18" s="97">
        <f>IF(C18=2015, AK18/3,AK18)+AJ18</f>
        <v>30</v>
      </c>
    </row>
    <row r="19" spans="1:38" s="17" customFormat="1" x14ac:dyDescent="0.25">
      <c r="A19" s="76" t="s">
        <v>582</v>
      </c>
      <c r="B19" s="71" t="s">
        <v>64</v>
      </c>
      <c r="C19" s="3">
        <v>2010</v>
      </c>
      <c r="D19" s="2">
        <f t="shared" si="0"/>
        <v>6</v>
      </c>
      <c r="E19" s="233"/>
      <c r="F19" s="219"/>
      <c r="G19" s="120"/>
      <c r="H19" s="219"/>
      <c r="I19" s="108"/>
      <c r="J19" s="108"/>
      <c r="K19" s="108"/>
      <c r="L19" s="108"/>
      <c r="M19" s="108"/>
      <c r="N19" s="108"/>
      <c r="O19" s="108">
        <f t="shared" si="1"/>
        <v>6</v>
      </c>
      <c r="P19" s="122"/>
      <c r="Q19" s="96">
        <f t="shared" si="2"/>
        <v>6</v>
      </c>
      <c r="R19" s="97">
        <f t="shared" si="7"/>
        <v>6</v>
      </c>
      <c r="S19" s="143"/>
      <c r="T19" s="108"/>
      <c r="U19" s="108"/>
      <c r="V19" s="108"/>
      <c r="W19" s="108">
        <f>3</f>
        <v>3</v>
      </c>
      <c r="X19" s="108">
        <v>3</v>
      </c>
      <c r="Y19" s="122"/>
      <c r="Z19" s="96">
        <f t="shared" si="3"/>
        <v>6</v>
      </c>
      <c r="AA19" s="97">
        <f t="shared" ref="AA19:AA32" si="8">IF(C19=2011, Z19/3,Z19)+Y19</f>
        <v>6</v>
      </c>
      <c r="AB19" s="112"/>
      <c r="AC19" s="41"/>
      <c r="AD19" s="41">
        <v>3</v>
      </c>
      <c r="AE19" s="41"/>
      <c r="AF19" s="41"/>
      <c r="AG19" s="41"/>
      <c r="AH19" s="41"/>
      <c r="AI19" s="41"/>
      <c r="AJ19" s="95"/>
      <c r="AK19" s="96"/>
      <c r="AL19" s="97"/>
    </row>
    <row r="20" spans="1:38" s="52" customFormat="1" x14ac:dyDescent="0.25">
      <c r="A20" s="126" t="s">
        <v>204</v>
      </c>
      <c r="B20" s="127" t="s">
        <v>87</v>
      </c>
      <c r="C20" s="128">
        <v>2009</v>
      </c>
      <c r="D20" s="2">
        <f t="shared" si="0"/>
        <v>12</v>
      </c>
      <c r="E20" s="233"/>
      <c r="F20" s="219"/>
      <c r="G20" s="120"/>
      <c r="H20" s="219"/>
      <c r="I20" s="108"/>
      <c r="J20" s="108"/>
      <c r="K20" s="108"/>
      <c r="L20" s="108"/>
      <c r="M20" s="108"/>
      <c r="N20" s="108"/>
      <c r="O20" s="108">
        <f t="shared" si="1"/>
        <v>12</v>
      </c>
      <c r="P20" s="122"/>
      <c r="Q20" s="96">
        <f t="shared" si="2"/>
        <v>12</v>
      </c>
      <c r="R20" s="97">
        <f t="shared" si="7"/>
        <v>12</v>
      </c>
      <c r="S20" s="143"/>
      <c r="T20" s="108"/>
      <c r="U20" s="108"/>
      <c r="V20" s="108"/>
      <c r="W20" s="108"/>
      <c r="X20" s="108">
        <f t="shared" ref="X20:X27" si="9">AL20</f>
        <v>12</v>
      </c>
      <c r="Y20" s="122"/>
      <c r="Z20" s="96">
        <f t="shared" si="3"/>
        <v>12</v>
      </c>
      <c r="AA20" s="97">
        <f t="shared" si="8"/>
        <v>12</v>
      </c>
      <c r="AB20" s="112"/>
      <c r="AC20" s="112"/>
      <c r="AD20" s="50">
        <f>9+3</f>
        <v>12</v>
      </c>
      <c r="AE20" s="50"/>
      <c r="AF20" s="50"/>
      <c r="AG20" s="50"/>
      <c r="AH20" s="50"/>
      <c r="AI20" s="112"/>
      <c r="AJ20" s="95"/>
      <c r="AK20" s="96">
        <f t="shared" ref="AK20:AK27" si="10">SUM(AC20:AI20)</f>
        <v>12</v>
      </c>
      <c r="AL20" s="97">
        <f t="shared" ref="AL20:AL27" si="11">IF(C20=2010, AK20/3,AK20)+AJ20</f>
        <v>12</v>
      </c>
    </row>
    <row r="21" spans="1:38" x14ac:dyDescent="0.25">
      <c r="A21" s="60" t="s">
        <v>205</v>
      </c>
      <c r="B21" s="65" t="s">
        <v>87</v>
      </c>
      <c r="C21" s="62">
        <v>2008</v>
      </c>
      <c r="D21" s="2">
        <f t="shared" si="0"/>
        <v>6</v>
      </c>
      <c r="G21" s="120"/>
      <c r="I21" s="108"/>
      <c r="J21" s="108"/>
      <c r="K21" s="108"/>
      <c r="L21" s="108"/>
      <c r="M21" s="108"/>
      <c r="N21" s="108"/>
      <c r="O21" s="108">
        <f t="shared" si="1"/>
        <v>6</v>
      </c>
      <c r="P21" s="122"/>
      <c r="Q21" s="96">
        <f t="shared" si="2"/>
        <v>6</v>
      </c>
      <c r="R21" s="97">
        <f t="shared" si="7"/>
        <v>6</v>
      </c>
      <c r="T21" s="108"/>
      <c r="U21" s="108"/>
      <c r="V21" s="108"/>
      <c r="W21" s="108"/>
      <c r="X21" s="108">
        <f t="shared" si="9"/>
        <v>6</v>
      </c>
      <c r="Y21" s="122"/>
      <c r="Z21" s="96">
        <f t="shared" si="3"/>
        <v>6</v>
      </c>
      <c r="AA21" s="97">
        <f t="shared" si="8"/>
        <v>6</v>
      </c>
      <c r="AD21" s="50">
        <f>3+3</f>
        <v>6</v>
      </c>
      <c r="AE21" s="50"/>
      <c r="AF21" s="50"/>
      <c r="AG21" s="50"/>
      <c r="AH21" s="50"/>
      <c r="AJ21" s="95"/>
      <c r="AK21" s="96">
        <f t="shared" si="10"/>
        <v>6</v>
      </c>
      <c r="AL21" s="97">
        <f t="shared" si="11"/>
        <v>6</v>
      </c>
    </row>
    <row r="22" spans="1:38" x14ac:dyDescent="0.25">
      <c r="A22" s="60" t="s">
        <v>203</v>
      </c>
      <c r="B22" s="65" t="s">
        <v>87</v>
      </c>
      <c r="C22" s="62">
        <v>2008</v>
      </c>
      <c r="D22" s="2">
        <f t="shared" si="0"/>
        <v>26</v>
      </c>
      <c r="E22" s="156"/>
      <c r="F22" s="156"/>
      <c r="G22" s="122"/>
      <c r="H22" s="156"/>
      <c r="I22" s="108"/>
      <c r="J22" s="108"/>
      <c r="K22" s="108"/>
      <c r="L22" s="108"/>
      <c r="M22" s="108"/>
      <c r="N22" s="108"/>
      <c r="O22" s="108">
        <f t="shared" si="1"/>
        <v>26</v>
      </c>
      <c r="P22" s="122"/>
      <c r="Q22" s="96">
        <f t="shared" si="2"/>
        <v>26</v>
      </c>
      <c r="R22" s="97">
        <f t="shared" si="7"/>
        <v>26</v>
      </c>
      <c r="T22" s="108"/>
      <c r="U22" s="108"/>
      <c r="V22" s="108"/>
      <c r="W22" s="108"/>
      <c r="X22" s="108">
        <f t="shared" si="9"/>
        <v>26</v>
      </c>
      <c r="Y22" s="122"/>
      <c r="Z22" s="96">
        <f t="shared" si="3"/>
        <v>26</v>
      </c>
      <c r="AA22" s="97">
        <f t="shared" si="8"/>
        <v>26</v>
      </c>
      <c r="AD22" s="50">
        <f>0+21</f>
        <v>21</v>
      </c>
      <c r="AE22" s="50"/>
      <c r="AF22" s="50"/>
      <c r="AG22" s="50"/>
      <c r="AH22" s="50"/>
      <c r="AI22" s="13">
        <f>5</f>
        <v>5</v>
      </c>
      <c r="AJ22" s="95"/>
      <c r="AK22" s="96">
        <f t="shared" si="10"/>
        <v>26</v>
      </c>
      <c r="AL22" s="97">
        <f t="shared" si="11"/>
        <v>26</v>
      </c>
    </row>
    <row r="23" spans="1:38" x14ac:dyDescent="0.25">
      <c r="A23" s="51" t="s">
        <v>59</v>
      </c>
      <c r="B23" s="51" t="s">
        <v>23</v>
      </c>
      <c r="C23" s="52">
        <v>2008</v>
      </c>
      <c r="D23" s="2">
        <f t="shared" si="0"/>
        <v>14.333333333333334</v>
      </c>
      <c r="G23" s="120"/>
      <c r="I23" s="108"/>
      <c r="J23" s="108"/>
      <c r="K23" s="108"/>
      <c r="L23" s="108"/>
      <c r="M23" s="108"/>
      <c r="N23" s="108"/>
      <c r="O23" s="108">
        <f t="shared" si="1"/>
        <v>14.333333333333334</v>
      </c>
      <c r="P23" s="122"/>
      <c r="Q23" s="96">
        <f t="shared" si="2"/>
        <v>14.333333333333334</v>
      </c>
      <c r="R23" s="97">
        <f t="shared" si="7"/>
        <v>14.333333333333334</v>
      </c>
      <c r="S23" s="50"/>
      <c r="T23" s="108"/>
      <c r="U23" s="108"/>
      <c r="V23" s="108">
        <f>4</f>
        <v>4</v>
      </c>
      <c r="W23" s="108"/>
      <c r="X23" s="108">
        <f t="shared" si="9"/>
        <v>10.333333333333334</v>
      </c>
      <c r="Y23" s="122"/>
      <c r="Z23" s="96">
        <f t="shared" si="3"/>
        <v>14.333333333333334</v>
      </c>
      <c r="AA23" s="97">
        <f t="shared" si="8"/>
        <v>14.333333333333334</v>
      </c>
      <c r="AB23" s="50"/>
      <c r="AC23" s="50">
        <f>0</f>
        <v>0</v>
      </c>
      <c r="AD23" s="50"/>
      <c r="AE23" s="50"/>
      <c r="AF23" s="50"/>
      <c r="AG23" s="50"/>
      <c r="AH23" s="50"/>
      <c r="AI23" s="50">
        <v>10.333333333333334</v>
      </c>
      <c r="AJ23" s="95"/>
      <c r="AK23" s="96">
        <f t="shared" si="10"/>
        <v>10.333333333333334</v>
      </c>
      <c r="AL23" s="97">
        <f t="shared" si="11"/>
        <v>10.333333333333334</v>
      </c>
    </row>
    <row r="24" spans="1:38" x14ac:dyDescent="0.25">
      <c r="A24" s="11" t="s">
        <v>100</v>
      </c>
      <c r="B24" s="11" t="s">
        <v>64</v>
      </c>
      <c r="C24" s="3">
        <v>2010</v>
      </c>
      <c r="D24" s="2">
        <f t="shared" si="0"/>
        <v>0</v>
      </c>
      <c r="G24" s="120"/>
      <c r="I24" s="108"/>
      <c r="J24" s="108"/>
      <c r="K24" s="108"/>
      <c r="L24" s="108"/>
      <c r="M24" s="108"/>
      <c r="N24" s="108"/>
      <c r="O24" s="108">
        <f t="shared" si="1"/>
        <v>0</v>
      </c>
      <c r="P24" s="122"/>
      <c r="Q24" s="96">
        <f t="shared" si="2"/>
        <v>0</v>
      </c>
      <c r="R24" s="97">
        <f t="shared" si="7"/>
        <v>0</v>
      </c>
      <c r="S24" s="143"/>
      <c r="T24" s="108"/>
      <c r="U24" s="108"/>
      <c r="V24" s="108"/>
      <c r="W24" s="108"/>
      <c r="X24" s="108">
        <f t="shared" si="9"/>
        <v>0</v>
      </c>
      <c r="Y24" s="122"/>
      <c r="Z24" s="96">
        <f t="shared" si="3"/>
        <v>0</v>
      </c>
      <c r="AA24" s="97">
        <f t="shared" si="8"/>
        <v>0</v>
      </c>
      <c r="AB24" s="91"/>
      <c r="AC24" s="50"/>
      <c r="AD24" s="50"/>
      <c r="AE24" s="50"/>
      <c r="AF24" s="50"/>
      <c r="AG24" s="50"/>
      <c r="AH24" s="50"/>
      <c r="AI24" s="74"/>
      <c r="AJ24" s="95"/>
      <c r="AK24" s="96">
        <f t="shared" si="10"/>
        <v>0</v>
      </c>
      <c r="AL24" s="97">
        <f t="shared" si="11"/>
        <v>0</v>
      </c>
    </row>
    <row r="25" spans="1:38" x14ac:dyDescent="0.25">
      <c r="A25" s="11" t="s">
        <v>110</v>
      </c>
      <c r="B25" s="11" t="s">
        <v>87</v>
      </c>
      <c r="C25" s="3">
        <v>2010</v>
      </c>
      <c r="D25" s="2">
        <f t="shared" si="0"/>
        <v>15</v>
      </c>
      <c r="G25" s="120"/>
      <c r="I25" s="108"/>
      <c r="J25" s="108"/>
      <c r="K25" s="108"/>
      <c r="L25" s="108"/>
      <c r="M25" s="108"/>
      <c r="N25" s="108"/>
      <c r="O25" s="108">
        <f t="shared" si="1"/>
        <v>15</v>
      </c>
      <c r="P25" s="122"/>
      <c r="Q25" s="96">
        <f t="shared" si="2"/>
        <v>15</v>
      </c>
      <c r="R25" s="97">
        <f t="shared" si="7"/>
        <v>15</v>
      </c>
      <c r="S25" s="143"/>
      <c r="T25" s="108"/>
      <c r="U25" s="108"/>
      <c r="V25" s="108"/>
      <c r="W25" s="108"/>
      <c r="X25" s="108">
        <f t="shared" si="9"/>
        <v>15</v>
      </c>
      <c r="Y25" s="122"/>
      <c r="Z25" s="96">
        <f t="shared" si="3"/>
        <v>15</v>
      </c>
      <c r="AA25" s="97">
        <f t="shared" si="8"/>
        <v>15</v>
      </c>
      <c r="AB25" s="91"/>
      <c r="AD25" s="13">
        <v>0</v>
      </c>
      <c r="AJ25" s="95">
        <f>15</f>
        <v>15</v>
      </c>
      <c r="AK25" s="96">
        <f t="shared" si="10"/>
        <v>0</v>
      </c>
      <c r="AL25" s="97">
        <f t="shared" si="11"/>
        <v>15</v>
      </c>
    </row>
    <row r="26" spans="1:38" x14ac:dyDescent="0.25">
      <c r="A26" s="11" t="s">
        <v>104</v>
      </c>
      <c r="B26" s="11" t="s">
        <v>64</v>
      </c>
      <c r="C26" s="3">
        <v>2010</v>
      </c>
      <c r="D26" s="2">
        <f t="shared" si="0"/>
        <v>69</v>
      </c>
      <c r="G26" s="120"/>
      <c r="I26" s="108"/>
      <c r="J26" s="108"/>
      <c r="K26" s="108"/>
      <c r="L26" s="108"/>
      <c r="M26" s="108">
        <f>0+18</f>
        <v>18</v>
      </c>
      <c r="N26" s="108">
        <f>0+6</f>
        <v>6</v>
      </c>
      <c r="O26" s="108">
        <f t="shared" si="1"/>
        <v>45</v>
      </c>
      <c r="P26" s="122"/>
      <c r="Q26" s="96">
        <f t="shared" si="2"/>
        <v>69</v>
      </c>
      <c r="R26" s="97">
        <f t="shared" si="7"/>
        <v>69</v>
      </c>
      <c r="S26" s="143"/>
      <c r="T26" s="108"/>
      <c r="U26" s="108">
        <f>0</f>
        <v>0</v>
      </c>
      <c r="V26" s="108">
        <f>0+39</f>
        <v>39</v>
      </c>
      <c r="W26" s="108">
        <f>0+3</f>
        <v>3</v>
      </c>
      <c r="X26" s="108">
        <f t="shared" si="9"/>
        <v>3</v>
      </c>
      <c r="Y26" s="122"/>
      <c r="Z26" s="96">
        <f t="shared" si="3"/>
        <v>45</v>
      </c>
      <c r="AA26" s="97">
        <f t="shared" si="8"/>
        <v>45</v>
      </c>
      <c r="AB26" s="112"/>
      <c r="AD26" s="13">
        <v>6</v>
      </c>
      <c r="AI26" s="13">
        <f>3</f>
        <v>3</v>
      </c>
      <c r="AJ26" s="95"/>
      <c r="AK26" s="96">
        <f t="shared" si="10"/>
        <v>9</v>
      </c>
      <c r="AL26" s="97">
        <f t="shared" si="11"/>
        <v>3</v>
      </c>
    </row>
    <row r="27" spans="1:38" x14ac:dyDescent="0.25">
      <c r="A27" s="11" t="s">
        <v>136</v>
      </c>
      <c r="B27" s="60" t="s">
        <v>111</v>
      </c>
      <c r="C27" s="62">
        <v>2010</v>
      </c>
      <c r="D27" s="2">
        <f t="shared" si="0"/>
        <v>2.6666666666666665</v>
      </c>
      <c r="G27" s="120"/>
      <c r="I27" s="108"/>
      <c r="J27" s="108"/>
      <c r="K27" s="108"/>
      <c r="L27" s="108"/>
      <c r="M27" s="108"/>
      <c r="N27" s="108"/>
      <c r="O27" s="108">
        <f t="shared" si="1"/>
        <v>2.6666666666666665</v>
      </c>
      <c r="P27" s="122"/>
      <c r="Q27" s="96">
        <f t="shared" si="2"/>
        <v>2.6666666666666665</v>
      </c>
      <c r="R27" s="97">
        <f t="shared" si="7"/>
        <v>2.6666666666666665</v>
      </c>
      <c r="S27" s="143"/>
      <c r="T27" s="108"/>
      <c r="U27" s="108"/>
      <c r="V27" s="108"/>
      <c r="W27" s="108"/>
      <c r="X27" s="108">
        <f t="shared" si="9"/>
        <v>2.6666666666666665</v>
      </c>
      <c r="Y27" s="122"/>
      <c r="Z27" s="96">
        <f t="shared" si="3"/>
        <v>2.6666666666666665</v>
      </c>
      <c r="AA27" s="97">
        <f t="shared" si="8"/>
        <v>2.6666666666666665</v>
      </c>
      <c r="AB27" s="112"/>
      <c r="AC27" s="41"/>
      <c r="AD27" s="41">
        <v>8</v>
      </c>
      <c r="AE27" s="41"/>
      <c r="AF27" s="41"/>
      <c r="AG27" s="41"/>
      <c r="AH27" s="41"/>
      <c r="AI27" s="74"/>
      <c r="AJ27" s="95"/>
      <c r="AK27" s="96">
        <f t="shared" si="10"/>
        <v>8</v>
      </c>
      <c r="AL27" s="97">
        <f t="shared" si="11"/>
        <v>2.6666666666666665</v>
      </c>
    </row>
    <row r="28" spans="1:38" x14ac:dyDescent="0.25">
      <c r="A28" s="11" t="s">
        <v>641</v>
      </c>
      <c r="B28" s="11" t="s">
        <v>633</v>
      </c>
      <c r="C28" s="3">
        <v>2009</v>
      </c>
      <c r="D28" s="2">
        <f t="shared" si="0"/>
        <v>63</v>
      </c>
      <c r="G28" s="120"/>
      <c r="I28" s="108"/>
      <c r="J28" s="108"/>
      <c r="K28" s="108"/>
      <c r="L28" s="108"/>
      <c r="M28" s="108">
        <f>9</f>
        <v>9</v>
      </c>
      <c r="N28" s="108">
        <f>3</f>
        <v>3</v>
      </c>
      <c r="O28" s="108">
        <f t="shared" si="1"/>
        <v>51</v>
      </c>
      <c r="P28" s="122"/>
      <c r="Q28" s="96">
        <f t="shared" si="2"/>
        <v>63</v>
      </c>
      <c r="R28" s="97">
        <f t="shared" si="7"/>
        <v>63</v>
      </c>
      <c r="S28" s="143"/>
      <c r="T28" s="108"/>
      <c r="U28" s="108"/>
      <c r="V28" s="108">
        <f>0</f>
        <v>0</v>
      </c>
      <c r="W28" s="108"/>
      <c r="X28" s="108">
        <f>51</f>
        <v>51</v>
      </c>
      <c r="Y28" s="122"/>
      <c r="Z28" s="96">
        <f t="shared" si="3"/>
        <v>51</v>
      </c>
      <c r="AA28" s="97">
        <f t="shared" si="8"/>
        <v>51</v>
      </c>
      <c r="AB28" s="114"/>
      <c r="AC28" s="41"/>
      <c r="AD28" s="41"/>
      <c r="AE28" s="41"/>
      <c r="AF28" s="41"/>
      <c r="AG28" s="41"/>
      <c r="AH28" s="41"/>
      <c r="AI28" s="74"/>
      <c r="AJ28" s="95"/>
      <c r="AK28" s="96"/>
      <c r="AL28" s="97"/>
    </row>
    <row r="29" spans="1:38" x14ac:dyDescent="0.25">
      <c r="A29" s="51" t="s">
        <v>371</v>
      </c>
      <c r="B29" s="51" t="s">
        <v>232</v>
      </c>
      <c r="C29" s="52">
        <v>2009</v>
      </c>
      <c r="D29" s="2">
        <f t="shared" si="0"/>
        <v>64</v>
      </c>
      <c r="G29" s="120"/>
      <c r="I29" s="108"/>
      <c r="J29" s="108"/>
      <c r="K29" s="108"/>
      <c r="L29" s="108"/>
      <c r="M29" s="108"/>
      <c r="N29" s="108"/>
      <c r="O29" s="108">
        <f t="shared" si="1"/>
        <v>64</v>
      </c>
      <c r="P29" s="122"/>
      <c r="Q29" s="96">
        <f t="shared" si="2"/>
        <v>64</v>
      </c>
      <c r="R29" s="97">
        <f t="shared" si="7"/>
        <v>64</v>
      </c>
      <c r="S29" s="50"/>
      <c r="T29" s="108"/>
      <c r="U29" s="108">
        <f>6</f>
        <v>6</v>
      </c>
      <c r="V29" s="108">
        <f>22</f>
        <v>22</v>
      </c>
      <c r="W29" s="108"/>
      <c r="X29" s="108">
        <f>AL29</f>
        <v>36</v>
      </c>
      <c r="Y29" s="122"/>
      <c r="Z29" s="96">
        <f t="shared" si="3"/>
        <v>64</v>
      </c>
      <c r="AA29" s="97">
        <f t="shared" si="8"/>
        <v>64</v>
      </c>
      <c r="AB29" s="50"/>
      <c r="AC29" s="50"/>
      <c r="AD29" s="50"/>
      <c r="AE29" s="50"/>
      <c r="AF29" s="50">
        <f>3</f>
        <v>3</v>
      </c>
      <c r="AG29" s="50"/>
      <c r="AH29" s="50"/>
      <c r="AI29" s="50">
        <f>33</f>
        <v>33</v>
      </c>
      <c r="AJ29" s="95"/>
      <c r="AK29" s="96">
        <f>SUM(AC29:AI29)</f>
        <v>36</v>
      </c>
      <c r="AL29" s="97">
        <f>IF(C29=2010, AK29/3,AK29)+AJ29</f>
        <v>36</v>
      </c>
    </row>
    <row r="30" spans="1:38" x14ac:dyDescent="0.25">
      <c r="A30" s="60" t="s">
        <v>574</v>
      </c>
      <c r="B30" s="65" t="s">
        <v>64</v>
      </c>
      <c r="C30" s="62">
        <v>2010</v>
      </c>
      <c r="D30" s="2">
        <f t="shared" si="0"/>
        <v>39</v>
      </c>
      <c r="I30" s="108"/>
      <c r="J30" s="108">
        <f>6</f>
        <v>6</v>
      </c>
      <c r="K30" s="108"/>
      <c r="L30" s="108"/>
      <c r="M30" s="108">
        <f>3</f>
        <v>3</v>
      </c>
      <c r="N30" s="108">
        <f>0+6</f>
        <v>6</v>
      </c>
      <c r="O30" s="108">
        <f t="shared" si="1"/>
        <v>24</v>
      </c>
      <c r="P30" s="124"/>
      <c r="Q30" s="96">
        <f t="shared" si="2"/>
        <v>39</v>
      </c>
      <c r="R30" s="97">
        <f t="shared" si="7"/>
        <v>39</v>
      </c>
      <c r="T30" s="108"/>
      <c r="U30" s="108">
        <f>3</f>
        <v>3</v>
      </c>
      <c r="V30" s="108"/>
      <c r="W30" s="108">
        <f>21</f>
        <v>21</v>
      </c>
      <c r="X30" s="3"/>
      <c r="Y30" s="124"/>
      <c r="Z30" s="96">
        <f t="shared" si="3"/>
        <v>24</v>
      </c>
      <c r="AA30" s="97">
        <f t="shared" si="8"/>
        <v>24</v>
      </c>
      <c r="AJ30" s="95"/>
      <c r="AK30" s="96"/>
      <c r="AL30" s="97"/>
    </row>
    <row r="31" spans="1:38" x14ac:dyDescent="0.25">
      <c r="A31" s="11" t="s">
        <v>269</v>
      </c>
      <c r="B31" s="11" t="s">
        <v>232</v>
      </c>
      <c r="C31" s="3">
        <v>2010</v>
      </c>
      <c r="D31" s="2">
        <f t="shared" si="0"/>
        <v>83.666666666666657</v>
      </c>
      <c r="G31" s="154"/>
      <c r="I31" s="108"/>
      <c r="J31" s="108"/>
      <c r="K31" s="108"/>
      <c r="L31" s="108"/>
      <c r="M31" s="108"/>
      <c r="N31" s="108"/>
      <c r="O31" s="108">
        <f t="shared" si="1"/>
        <v>83.666666666666657</v>
      </c>
      <c r="P31" s="122"/>
      <c r="Q31" s="96">
        <f t="shared" si="2"/>
        <v>83.666666666666657</v>
      </c>
      <c r="R31" s="97">
        <f t="shared" si="7"/>
        <v>83.666666666666657</v>
      </c>
      <c r="S31" s="143"/>
      <c r="T31" s="108">
        <f>0</f>
        <v>0</v>
      </c>
      <c r="U31" s="108">
        <f>9</f>
        <v>9</v>
      </c>
      <c r="V31" s="108">
        <f>28</f>
        <v>28</v>
      </c>
      <c r="W31" s="108"/>
      <c r="X31" s="108">
        <f>AL31</f>
        <v>46.666666666666664</v>
      </c>
      <c r="Y31" s="122"/>
      <c r="Z31" s="96">
        <f t="shared" si="3"/>
        <v>83.666666666666657</v>
      </c>
      <c r="AA31" s="97">
        <f t="shared" si="8"/>
        <v>83.666666666666657</v>
      </c>
      <c r="AB31" s="112"/>
      <c r="AE31" s="13">
        <f>3</f>
        <v>3</v>
      </c>
      <c r="AF31" s="13">
        <f>30</f>
        <v>30</v>
      </c>
      <c r="AH31" s="13">
        <f>3</f>
        <v>3</v>
      </c>
      <c r="AI31" s="13">
        <f>104</f>
        <v>104</v>
      </c>
      <c r="AJ31" s="95"/>
      <c r="AK31" s="96">
        <f>SUM(AC31:AI31)</f>
        <v>140</v>
      </c>
      <c r="AL31" s="97">
        <f>IF(C31=2010, AK31/3,AK31)+AJ31</f>
        <v>46.666666666666664</v>
      </c>
    </row>
    <row r="32" spans="1:38" x14ac:dyDescent="0.25">
      <c r="A32" s="11" t="s">
        <v>345</v>
      </c>
      <c r="B32" s="11" t="s">
        <v>86</v>
      </c>
      <c r="C32" s="3">
        <v>2010</v>
      </c>
      <c r="D32" s="2">
        <f t="shared" si="0"/>
        <v>0</v>
      </c>
      <c r="G32" s="154"/>
      <c r="I32" s="108"/>
      <c r="J32" s="108"/>
      <c r="K32" s="108"/>
      <c r="L32" s="108"/>
      <c r="M32" s="108"/>
      <c r="N32" s="108"/>
      <c r="O32" s="108">
        <f t="shared" si="1"/>
        <v>0</v>
      </c>
      <c r="P32" s="122"/>
      <c r="Q32" s="96">
        <f t="shared" si="2"/>
        <v>0</v>
      </c>
      <c r="R32" s="97">
        <f t="shared" ref="R32:R34" si="12">IF(C32=2012, Q32/3,Q32)+P32</f>
        <v>0</v>
      </c>
      <c r="S32" s="143"/>
      <c r="T32" s="108"/>
      <c r="U32" s="108"/>
      <c r="V32" s="108"/>
      <c r="W32" s="108"/>
      <c r="X32" s="108">
        <f>AL32</f>
        <v>0</v>
      </c>
      <c r="Y32" s="122"/>
      <c r="Z32" s="96">
        <f t="shared" si="3"/>
        <v>0</v>
      </c>
      <c r="AA32" s="97">
        <f t="shared" si="8"/>
        <v>0</v>
      </c>
      <c r="AB32" s="91"/>
      <c r="AF32" s="13">
        <f>0</f>
        <v>0</v>
      </c>
      <c r="AJ32" s="95"/>
      <c r="AK32" s="96">
        <f>SUM(AC32:AI32)</f>
        <v>0</v>
      </c>
      <c r="AL32" s="97">
        <f>IF(C32=2010, AK32/3,AK32)+AJ32</f>
        <v>0</v>
      </c>
    </row>
    <row r="33" spans="1:38" s="17" customFormat="1" x14ac:dyDescent="0.25">
      <c r="A33" s="76" t="s">
        <v>321</v>
      </c>
      <c r="B33" s="71" t="s">
        <v>232</v>
      </c>
      <c r="C33" s="3">
        <v>2012</v>
      </c>
      <c r="D33" s="2">
        <f t="shared" si="0"/>
        <v>37.666666666666664</v>
      </c>
      <c r="E33" s="233"/>
      <c r="F33" s="219"/>
      <c r="G33" s="120"/>
      <c r="H33" s="219"/>
      <c r="I33" s="108"/>
      <c r="J33" s="108"/>
      <c r="K33" s="108"/>
      <c r="L33" s="108"/>
      <c r="M33" s="108"/>
      <c r="N33" s="108"/>
      <c r="O33" s="108">
        <f t="shared" si="1"/>
        <v>113</v>
      </c>
      <c r="P33" s="122"/>
      <c r="Q33" s="96">
        <f t="shared" si="2"/>
        <v>113</v>
      </c>
      <c r="R33" s="97">
        <f t="shared" si="12"/>
        <v>37.666666666666664</v>
      </c>
      <c r="S33" s="141"/>
      <c r="T33" s="108"/>
      <c r="U33" s="108">
        <f>12</f>
        <v>12</v>
      </c>
      <c r="V33" s="108">
        <f>56</f>
        <v>56</v>
      </c>
      <c r="W33" s="108">
        <f>45</f>
        <v>45</v>
      </c>
      <c r="X33" s="108">
        <f>AL33</f>
        <v>0</v>
      </c>
      <c r="Y33" s="122"/>
      <c r="Z33" s="96">
        <f>SUM(T33:X33)</f>
        <v>113</v>
      </c>
      <c r="AA33" s="97">
        <f>IF(C33=2016, Z33/3,Z33)+Y33</f>
        <v>113</v>
      </c>
      <c r="AB33" s="112"/>
      <c r="AC33" s="41"/>
      <c r="AD33" s="41"/>
      <c r="AE33" s="41"/>
      <c r="AF33" s="41">
        <f>0</f>
        <v>0</v>
      </c>
      <c r="AG33" s="41"/>
      <c r="AH33" s="41"/>
      <c r="AI33" s="41"/>
      <c r="AJ33" s="95"/>
      <c r="AK33" s="96">
        <f>SUM(AC33:AI33)</f>
        <v>0</v>
      </c>
      <c r="AL33" s="97">
        <f>IF(C33=2015, AK33/3,AK33)+AJ33</f>
        <v>0</v>
      </c>
    </row>
    <row r="34" spans="1:38" x14ac:dyDescent="0.25">
      <c r="A34" s="11" t="s">
        <v>266</v>
      </c>
      <c r="B34" s="11" t="s">
        <v>232</v>
      </c>
      <c r="C34" s="3">
        <v>2012</v>
      </c>
      <c r="D34" s="2">
        <f t="shared" si="0"/>
        <v>4</v>
      </c>
      <c r="G34" s="120"/>
      <c r="I34" s="108"/>
      <c r="J34" s="108"/>
      <c r="K34" s="108"/>
      <c r="L34" s="108"/>
      <c r="M34" s="108"/>
      <c r="N34" s="108"/>
      <c r="O34" s="108">
        <f t="shared" si="1"/>
        <v>12</v>
      </c>
      <c r="P34" s="122"/>
      <c r="Q34" s="96">
        <f t="shared" si="2"/>
        <v>12</v>
      </c>
      <c r="R34" s="97">
        <f t="shared" si="12"/>
        <v>4</v>
      </c>
      <c r="S34" s="141"/>
      <c r="T34" s="108"/>
      <c r="U34" s="108"/>
      <c r="V34" s="108"/>
      <c r="W34" s="108"/>
      <c r="X34" s="108">
        <f>AL34</f>
        <v>12</v>
      </c>
      <c r="Y34" s="122"/>
      <c r="Z34" s="96">
        <f>SUM(T34:X34)</f>
        <v>12</v>
      </c>
      <c r="AA34" s="97">
        <f>IF(C34=2016, Z34/3,Z34)+Y34</f>
        <v>12</v>
      </c>
      <c r="AB34" s="91"/>
      <c r="AE34" s="13">
        <f>12</f>
        <v>12</v>
      </c>
      <c r="AF34" s="13">
        <f>0</f>
        <v>0</v>
      </c>
      <c r="AI34" s="13">
        <v>0</v>
      </c>
      <c r="AJ34" s="95"/>
      <c r="AK34" s="96">
        <f>SUM(AC34:AI34)</f>
        <v>12</v>
      </c>
      <c r="AL34" s="97">
        <f>IF(C34=2015, AK34/3,AK34)+AJ34</f>
        <v>12</v>
      </c>
    </row>
    <row r="35" spans="1:38" s="17" customFormat="1" x14ac:dyDescent="0.25">
      <c r="A35" s="11" t="s">
        <v>109</v>
      </c>
      <c r="B35" s="11" t="s">
        <v>86</v>
      </c>
      <c r="C35" s="3">
        <v>2012</v>
      </c>
      <c r="D35" s="2">
        <f t="shared" si="0"/>
        <v>18</v>
      </c>
      <c r="E35" s="233"/>
      <c r="F35" s="219"/>
      <c r="G35" s="120"/>
      <c r="H35" s="219"/>
      <c r="I35" s="108">
        <f>12</f>
        <v>12</v>
      </c>
      <c r="J35" s="212"/>
      <c r="K35" s="108"/>
      <c r="L35" s="108"/>
      <c r="M35" s="108"/>
      <c r="N35" s="108"/>
      <c r="O35" s="108">
        <f t="shared" si="1"/>
        <v>42</v>
      </c>
      <c r="P35" s="122"/>
      <c r="Q35" s="96">
        <f t="shared" si="2"/>
        <v>54</v>
      </c>
      <c r="R35" s="97">
        <f t="shared" ref="R35" si="13">IF(C35=2012, Q35/3,Q35)+P35</f>
        <v>18</v>
      </c>
      <c r="S35" s="195"/>
      <c r="T35" s="108"/>
      <c r="U35" s="108"/>
      <c r="V35" s="108"/>
      <c r="W35" s="108"/>
      <c r="X35" s="108">
        <f>AL35</f>
        <v>42</v>
      </c>
      <c r="Y35" s="122"/>
      <c r="Z35" s="96">
        <f>SUM(T35:X35)</f>
        <v>42</v>
      </c>
      <c r="AA35" s="97">
        <f>IF(C35=2016, Z35/3,Z35)+Y35</f>
        <v>42</v>
      </c>
      <c r="AB35" s="195"/>
      <c r="AC35" s="13"/>
      <c r="AD35" s="13">
        <v>9</v>
      </c>
      <c r="AE35" s="13"/>
      <c r="AF35" s="13">
        <f>15</f>
        <v>15</v>
      </c>
      <c r="AG35" s="13"/>
      <c r="AH35" s="13">
        <f>18</f>
        <v>18</v>
      </c>
      <c r="AI35" s="13"/>
      <c r="AJ35" s="157"/>
      <c r="AK35" s="96">
        <f>SUM(AC35:AI35)</f>
        <v>42</v>
      </c>
      <c r="AL35" s="97">
        <f>IF(C35=2015, AK35/3,AK35)+AJ35</f>
        <v>42</v>
      </c>
    </row>
    <row r="36" spans="1:38" s="17" customFormat="1" x14ac:dyDescent="0.25">
      <c r="A36" s="253" t="s">
        <v>15</v>
      </c>
      <c r="B36" s="254"/>
      <c r="C36" s="255"/>
      <c r="D36" s="232"/>
      <c r="E36" s="233"/>
      <c r="F36" s="219"/>
      <c r="G36" s="154"/>
      <c r="H36" s="219"/>
      <c r="I36" s="108"/>
      <c r="J36" s="108"/>
      <c r="K36" s="108"/>
      <c r="L36" s="108"/>
      <c r="M36" s="108"/>
      <c r="N36" s="108"/>
      <c r="O36" s="108"/>
      <c r="P36" s="108"/>
      <c r="Q36" s="96"/>
      <c r="R36" s="97"/>
      <c r="S36" s="143"/>
      <c r="T36" s="108"/>
      <c r="U36" s="108"/>
      <c r="V36" s="108"/>
      <c r="W36" s="108"/>
      <c r="X36" s="108"/>
      <c r="Y36" s="108"/>
      <c r="Z36" s="68"/>
      <c r="AA36" s="68"/>
      <c r="AB36" s="143"/>
      <c r="AC36" s="143"/>
      <c r="AD36" s="143"/>
      <c r="AE36" s="143"/>
      <c r="AF36" s="143"/>
      <c r="AG36" s="143"/>
      <c r="AH36" s="143"/>
      <c r="AI36" s="143"/>
      <c r="AJ36" s="68"/>
      <c r="AK36" s="68">
        <f t="shared" ref="AK36" si="14">SUM(AC36:AI36)</f>
        <v>0</v>
      </c>
      <c r="AL36" s="68">
        <f>IF(C36=2010, AK36/3,AK36)+AJ36</f>
        <v>0</v>
      </c>
    </row>
    <row r="37" spans="1:38" s="17" customFormat="1" x14ac:dyDescent="0.25">
      <c r="A37" s="11" t="s">
        <v>1157</v>
      </c>
      <c r="B37" s="3" t="s">
        <v>86</v>
      </c>
      <c r="C37" s="3">
        <v>2011</v>
      </c>
      <c r="D37" s="2">
        <f t="shared" ref="D37:D45" si="15">R37+E37</f>
        <v>0</v>
      </c>
      <c r="E37" s="233">
        <f>0</f>
        <v>0</v>
      </c>
      <c r="F37" s="233"/>
      <c r="G37" s="154"/>
      <c r="H37" s="233"/>
      <c r="I37" s="108"/>
      <c r="J37" s="108"/>
      <c r="K37" s="108"/>
      <c r="L37" s="108"/>
      <c r="M37" s="108"/>
      <c r="N37" s="108"/>
      <c r="O37" s="108"/>
      <c r="P37" s="108"/>
      <c r="Q37" s="96"/>
      <c r="R37" s="97"/>
      <c r="S37" s="232"/>
      <c r="T37" s="108"/>
      <c r="U37" s="108"/>
      <c r="V37" s="108"/>
      <c r="W37" s="108"/>
      <c r="X37" s="108"/>
      <c r="Y37" s="108"/>
      <c r="Z37" s="68"/>
      <c r="AA37" s="68"/>
      <c r="AB37" s="232"/>
      <c r="AC37" s="232"/>
      <c r="AD37" s="232"/>
      <c r="AE37" s="232"/>
      <c r="AF37" s="232"/>
      <c r="AG37" s="232"/>
      <c r="AH37" s="232"/>
      <c r="AI37" s="232"/>
      <c r="AJ37" s="68"/>
      <c r="AK37" s="68"/>
      <c r="AL37" s="68"/>
    </row>
    <row r="38" spans="1:38" s="17" customFormat="1" x14ac:dyDescent="0.25">
      <c r="A38" s="11" t="s">
        <v>1177</v>
      </c>
      <c r="B38" s="3" t="s">
        <v>87</v>
      </c>
      <c r="C38" s="3">
        <v>2010</v>
      </c>
      <c r="D38" s="2">
        <f t="shared" si="15"/>
        <v>6</v>
      </c>
      <c r="E38" s="233">
        <f>6</f>
        <v>6</v>
      </c>
      <c r="F38" s="233"/>
      <c r="G38" s="154"/>
      <c r="H38" s="233"/>
      <c r="I38" s="108"/>
      <c r="J38" s="108"/>
      <c r="K38" s="108"/>
      <c r="L38" s="108"/>
      <c r="M38" s="108"/>
      <c r="N38" s="108"/>
      <c r="O38" s="108"/>
      <c r="P38" s="108"/>
      <c r="Q38" s="96"/>
      <c r="R38" s="97"/>
      <c r="S38" s="232"/>
      <c r="T38" s="108"/>
      <c r="U38" s="108"/>
      <c r="V38" s="108"/>
      <c r="W38" s="108"/>
      <c r="X38" s="108"/>
      <c r="Y38" s="108"/>
      <c r="Z38" s="68"/>
      <c r="AA38" s="68"/>
      <c r="AB38" s="232"/>
      <c r="AC38" s="232"/>
      <c r="AD38" s="232"/>
      <c r="AE38" s="232"/>
      <c r="AF38" s="232"/>
      <c r="AG38" s="232"/>
      <c r="AH38" s="232"/>
      <c r="AI38" s="232"/>
      <c r="AJ38" s="68"/>
      <c r="AK38" s="68"/>
      <c r="AL38" s="68"/>
    </row>
    <row r="39" spans="1:38" s="17" customFormat="1" x14ac:dyDescent="0.25">
      <c r="A39" s="11" t="s">
        <v>1203</v>
      </c>
      <c r="B39" s="3" t="s">
        <v>87</v>
      </c>
      <c r="C39" s="3">
        <v>2009</v>
      </c>
      <c r="D39" s="2">
        <f t="shared" si="15"/>
        <v>42</v>
      </c>
      <c r="E39" s="233">
        <f>42</f>
        <v>42</v>
      </c>
      <c r="F39" s="233"/>
      <c r="G39" s="154"/>
      <c r="H39" s="233"/>
      <c r="I39" s="108"/>
      <c r="J39" s="108"/>
      <c r="K39" s="108"/>
      <c r="L39" s="108"/>
      <c r="M39" s="108"/>
      <c r="N39" s="108"/>
      <c r="O39" s="108"/>
      <c r="P39" s="108"/>
      <c r="Q39" s="96"/>
      <c r="R39" s="97"/>
      <c r="S39" s="232"/>
      <c r="T39" s="108"/>
      <c r="U39" s="108"/>
      <c r="V39" s="108"/>
      <c r="W39" s="108"/>
      <c r="X39" s="108"/>
      <c r="Y39" s="108"/>
      <c r="Z39" s="68"/>
      <c r="AA39" s="68"/>
      <c r="AB39" s="232"/>
      <c r="AC39" s="232"/>
      <c r="AD39" s="232"/>
      <c r="AE39" s="232"/>
      <c r="AF39" s="232"/>
      <c r="AG39" s="232"/>
      <c r="AH39" s="232"/>
      <c r="AI39" s="232"/>
      <c r="AJ39" s="68"/>
      <c r="AK39" s="68"/>
      <c r="AL39" s="68"/>
    </row>
    <row r="40" spans="1:38" s="17" customFormat="1" x14ac:dyDescent="0.25">
      <c r="A40" s="11" t="s">
        <v>1178</v>
      </c>
      <c r="B40" s="3" t="s">
        <v>87</v>
      </c>
      <c r="C40" s="3">
        <v>2011</v>
      </c>
      <c r="D40" s="2">
        <f t="shared" si="15"/>
        <v>6</v>
      </c>
      <c r="E40" s="233">
        <f>6</f>
        <v>6</v>
      </c>
      <c r="F40" s="233"/>
      <c r="G40" s="154"/>
      <c r="H40" s="233"/>
      <c r="I40" s="108"/>
      <c r="J40" s="108"/>
      <c r="K40" s="108"/>
      <c r="L40" s="108"/>
      <c r="M40" s="108"/>
      <c r="N40" s="108"/>
      <c r="O40" s="108"/>
      <c r="P40" s="108"/>
      <c r="Q40" s="96"/>
      <c r="R40" s="97"/>
      <c r="S40" s="232"/>
      <c r="T40" s="108"/>
      <c r="U40" s="108"/>
      <c r="V40" s="108"/>
      <c r="W40" s="108"/>
      <c r="X40" s="108"/>
      <c r="Y40" s="108"/>
      <c r="Z40" s="68"/>
      <c r="AA40" s="68"/>
      <c r="AB40" s="232"/>
      <c r="AC40" s="232"/>
      <c r="AD40" s="232"/>
      <c r="AE40" s="232"/>
      <c r="AF40" s="232"/>
      <c r="AG40" s="232"/>
      <c r="AH40" s="232"/>
      <c r="AI40" s="232"/>
      <c r="AJ40" s="68"/>
      <c r="AK40" s="68"/>
      <c r="AL40" s="68"/>
    </row>
    <row r="41" spans="1:38" x14ac:dyDescent="0.25">
      <c r="A41" s="11" t="s">
        <v>1068</v>
      </c>
      <c r="B41" s="3" t="s">
        <v>86</v>
      </c>
      <c r="C41" s="3">
        <v>2010</v>
      </c>
      <c r="D41" s="2">
        <f t="shared" si="15"/>
        <v>0</v>
      </c>
      <c r="G41" s="120"/>
      <c r="I41" s="13">
        <f>0</f>
        <v>0</v>
      </c>
      <c r="O41" s="108">
        <f>AA41</f>
        <v>0</v>
      </c>
      <c r="Q41" s="96">
        <f>I41+J41+K41+L41+M41+N41+O41</f>
        <v>0</v>
      </c>
      <c r="R41" s="97">
        <f>IF(C41=2012, Q41/3,Q41)+P41</f>
        <v>0</v>
      </c>
    </row>
    <row r="42" spans="1:38" x14ac:dyDescent="0.25">
      <c r="A42" s="11" t="s">
        <v>204</v>
      </c>
      <c r="B42" s="3" t="s">
        <v>87</v>
      </c>
      <c r="C42" s="3">
        <v>2009</v>
      </c>
      <c r="D42" s="2">
        <f t="shared" si="15"/>
        <v>3</v>
      </c>
      <c r="E42" s="233">
        <f>3</f>
        <v>3</v>
      </c>
      <c r="G42" s="120"/>
      <c r="J42" s="17"/>
      <c r="Q42" s="68"/>
      <c r="R42" s="68"/>
      <c r="AJ42" s="74"/>
    </row>
    <row r="43" spans="1:38" x14ac:dyDescent="0.25">
      <c r="A43" s="11" t="s">
        <v>110</v>
      </c>
      <c r="B43" s="3" t="s">
        <v>87</v>
      </c>
      <c r="C43" s="3">
        <v>2010</v>
      </c>
      <c r="D43" s="2">
        <f t="shared" si="15"/>
        <v>0</v>
      </c>
      <c r="E43" s="233">
        <f>0</f>
        <v>0</v>
      </c>
      <c r="F43" s="233"/>
      <c r="G43" s="120"/>
      <c r="H43" s="233"/>
      <c r="J43" s="17"/>
      <c r="Q43" s="68"/>
      <c r="R43" s="68"/>
      <c r="AJ43" s="74"/>
    </row>
    <row r="44" spans="1:38" x14ac:dyDescent="0.25">
      <c r="A44" s="11" t="s">
        <v>976</v>
      </c>
      <c r="B44" s="11" t="s">
        <v>948</v>
      </c>
      <c r="C44" s="3">
        <v>2012</v>
      </c>
      <c r="D44" s="2">
        <f t="shared" si="15"/>
        <v>0</v>
      </c>
      <c r="G44" s="154"/>
      <c r="I44" s="108">
        <f>0</f>
        <v>0</v>
      </c>
      <c r="J44" s="74"/>
      <c r="K44" s="108"/>
      <c r="L44" s="108"/>
      <c r="M44" s="108"/>
      <c r="N44" s="108"/>
      <c r="O44" s="108">
        <f>AA44</f>
        <v>0</v>
      </c>
      <c r="P44" s="108"/>
      <c r="Q44" s="96">
        <f>I44+J44+K44+L44+M44+N44+O44</f>
        <v>0</v>
      </c>
      <c r="R44" s="97">
        <f>IF(C44=2012, Q44/3,Q44)+P44</f>
        <v>0</v>
      </c>
      <c r="T44" s="108"/>
      <c r="U44" s="108"/>
      <c r="V44" s="108"/>
      <c r="W44" s="108"/>
      <c r="X44" s="108"/>
      <c r="Y44" s="108"/>
      <c r="AJ44" s="17"/>
    </row>
    <row r="45" spans="1:38" x14ac:dyDescent="0.25">
      <c r="A45" s="11" t="s">
        <v>974</v>
      </c>
      <c r="B45" s="11" t="s">
        <v>948</v>
      </c>
      <c r="C45" s="3">
        <v>2012</v>
      </c>
      <c r="D45" s="2">
        <f t="shared" si="15"/>
        <v>2</v>
      </c>
      <c r="E45" s="108"/>
      <c r="F45" s="108"/>
      <c r="G45" s="122"/>
      <c r="H45" s="108"/>
      <c r="I45" s="108">
        <f>6</f>
        <v>6</v>
      </c>
      <c r="J45" s="74"/>
      <c r="K45" s="108"/>
      <c r="L45" s="108"/>
      <c r="M45" s="108"/>
      <c r="N45" s="108"/>
      <c r="O45" s="108">
        <f>AA45</f>
        <v>0</v>
      </c>
      <c r="P45" s="108"/>
      <c r="Q45" s="96">
        <f>I45+J45+K45+L45+M45+N45+O45</f>
        <v>6</v>
      </c>
      <c r="R45" s="97">
        <f>IF(C45=2012, Q45/3,Q45)+P45</f>
        <v>2</v>
      </c>
      <c r="T45" s="108"/>
      <c r="U45" s="108"/>
      <c r="V45" s="108"/>
      <c r="W45" s="108"/>
      <c r="X45" s="108"/>
      <c r="Y45" s="108"/>
      <c r="AJ45" s="17"/>
    </row>
    <row r="46" spans="1:38" x14ac:dyDescent="0.25">
      <c r="G46" s="154"/>
      <c r="Q46" s="68"/>
      <c r="R46" s="68"/>
    </row>
    <row r="47" spans="1:38" x14ac:dyDescent="0.25">
      <c r="G47" s="154"/>
      <c r="Q47" s="68"/>
      <c r="R47" s="68"/>
    </row>
    <row r="48" spans="1:38" x14ac:dyDescent="0.25">
      <c r="E48" s="156"/>
      <c r="F48" s="156"/>
      <c r="G48" s="122"/>
      <c r="H48" s="156"/>
      <c r="Q48" s="68"/>
      <c r="R48" s="68"/>
    </row>
    <row r="49" spans="5:18" x14ac:dyDescent="0.25">
      <c r="E49" s="156"/>
      <c r="F49" s="156"/>
      <c r="G49" s="122"/>
      <c r="H49" s="156"/>
      <c r="Q49" s="68"/>
      <c r="R49" s="68"/>
    </row>
    <row r="50" spans="5:18" x14ac:dyDescent="0.25">
      <c r="G50" s="120"/>
      <c r="Q50" s="68"/>
      <c r="R50" s="68"/>
    </row>
    <row r="51" spans="5:18" x14ac:dyDescent="0.25">
      <c r="G51" s="154"/>
      <c r="Q51" s="68"/>
      <c r="R51" s="68"/>
    </row>
    <row r="52" spans="5:18" x14ac:dyDescent="0.25">
      <c r="G52" s="154"/>
      <c r="Q52" s="68"/>
      <c r="R52" s="68"/>
    </row>
    <row r="53" spans="5:18" x14ac:dyDescent="0.25">
      <c r="E53" s="156"/>
      <c r="F53" s="156"/>
      <c r="G53" s="122"/>
      <c r="H53" s="156"/>
      <c r="Q53" s="68"/>
      <c r="R53" s="68"/>
    </row>
    <row r="54" spans="5:18" x14ac:dyDescent="0.25">
      <c r="E54" s="108"/>
      <c r="F54" s="108"/>
      <c r="G54" s="122"/>
      <c r="H54" s="108"/>
      <c r="Q54" s="68"/>
      <c r="R54" s="68"/>
    </row>
    <row r="55" spans="5:18" x14ac:dyDescent="0.25">
      <c r="G55" s="154"/>
      <c r="Q55" s="68"/>
      <c r="R55" s="68"/>
    </row>
    <row r="56" spans="5:18" x14ac:dyDescent="0.25">
      <c r="E56" s="108"/>
      <c r="F56" s="108"/>
      <c r="G56" s="122"/>
      <c r="H56" s="108"/>
      <c r="Q56" s="68"/>
      <c r="R56" s="68"/>
    </row>
    <row r="57" spans="5:18" x14ac:dyDescent="0.25">
      <c r="G57" s="120"/>
      <c r="Q57" s="68"/>
      <c r="R57" s="68"/>
    </row>
    <row r="58" spans="5:18" x14ac:dyDescent="0.25">
      <c r="G58" s="120"/>
      <c r="Q58" s="68"/>
      <c r="R58" s="68"/>
    </row>
    <row r="59" spans="5:18" x14ac:dyDescent="0.25">
      <c r="G59" s="120"/>
      <c r="Q59" s="68"/>
      <c r="R59" s="68"/>
    </row>
    <row r="60" spans="5:18" x14ac:dyDescent="0.25">
      <c r="G60" s="154"/>
      <c r="Q60" s="68"/>
      <c r="R60" s="68"/>
    </row>
    <row r="61" spans="5:18" x14ac:dyDescent="0.25">
      <c r="G61" s="154"/>
      <c r="Q61" s="68"/>
      <c r="R61" s="68"/>
    </row>
    <row r="62" spans="5:18" x14ac:dyDescent="0.25">
      <c r="G62" s="120"/>
      <c r="Q62" s="68"/>
      <c r="R62" s="68"/>
    </row>
    <row r="63" spans="5:18" x14ac:dyDescent="0.25">
      <c r="G63" s="154"/>
      <c r="Q63" s="68"/>
      <c r="R63" s="68"/>
    </row>
    <row r="64" spans="5:18" x14ac:dyDescent="0.25">
      <c r="G64" s="120"/>
      <c r="Q64" s="68"/>
      <c r="R64" s="68"/>
    </row>
    <row r="65" spans="5:18" x14ac:dyDescent="0.25">
      <c r="E65" s="108"/>
      <c r="F65" s="108"/>
      <c r="G65" s="122"/>
      <c r="H65" s="108"/>
      <c r="Q65" s="68"/>
      <c r="R65" s="68"/>
    </row>
    <row r="66" spans="5:18" x14ac:dyDescent="0.25">
      <c r="E66" s="156"/>
      <c r="F66" s="156"/>
      <c r="G66" s="122"/>
      <c r="H66" s="156"/>
      <c r="Q66" s="68"/>
      <c r="R66" s="68"/>
    </row>
    <row r="67" spans="5:18" x14ac:dyDescent="0.25">
      <c r="G67" s="120"/>
      <c r="Q67" s="68"/>
      <c r="R67" s="68"/>
    </row>
    <row r="68" spans="5:18" x14ac:dyDescent="0.25">
      <c r="G68" s="120"/>
      <c r="Q68" s="68"/>
      <c r="R68" s="68"/>
    </row>
    <row r="69" spans="5:18" x14ac:dyDescent="0.25">
      <c r="E69" s="156"/>
      <c r="F69" s="156"/>
      <c r="G69" s="154"/>
      <c r="H69" s="156"/>
      <c r="Q69" s="68"/>
      <c r="R69" s="68"/>
    </row>
    <row r="70" spans="5:18" x14ac:dyDescent="0.25">
      <c r="E70" s="156"/>
      <c r="F70" s="156"/>
      <c r="G70" s="154"/>
      <c r="H70" s="156"/>
      <c r="Q70" s="68"/>
      <c r="R70" s="68"/>
    </row>
    <row r="71" spans="5:18" x14ac:dyDescent="0.25">
      <c r="G71" s="120"/>
      <c r="Q71" s="68"/>
      <c r="R71" s="68"/>
    </row>
    <row r="72" spans="5:18" x14ac:dyDescent="0.25">
      <c r="G72" s="120"/>
      <c r="Q72" s="68"/>
      <c r="R72" s="68"/>
    </row>
    <row r="73" spans="5:18" x14ac:dyDescent="0.25">
      <c r="E73" s="156"/>
      <c r="F73" s="156"/>
      <c r="G73" s="122"/>
      <c r="H73" s="156"/>
      <c r="Q73" s="68"/>
      <c r="R73" s="68"/>
    </row>
    <row r="74" spans="5:18" x14ac:dyDescent="0.25">
      <c r="G74" s="120"/>
      <c r="Q74" s="68"/>
      <c r="R74" s="68"/>
    </row>
    <row r="75" spans="5:18" x14ac:dyDescent="0.25">
      <c r="G75" s="120"/>
      <c r="Q75" s="68"/>
      <c r="R75" s="68"/>
    </row>
    <row r="76" spans="5:18" x14ac:dyDescent="0.25">
      <c r="E76" s="156"/>
      <c r="F76" s="156"/>
      <c r="G76" s="154"/>
      <c r="H76" s="156"/>
      <c r="Q76" s="68"/>
      <c r="R76" s="68"/>
    </row>
    <row r="77" spans="5:18" x14ac:dyDescent="0.25">
      <c r="G77" s="120"/>
      <c r="Q77" s="68"/>
      <c r="R77" s="68"/>
    </row>
    <row r="78" spans="5:18" x14ac:dyDescent="0.25">
      <c r="E78" s="156"/>
      <c r="F78" s="156"/>
      <c r="G78" s="154"/>
      <c r="H78" s="156"/>
      <c r="Q78" s="68"/>
      <c r="R78" s="68"/>
    </row>
    <row r="79" spans="5:18" x14ac:dyDescent="0.25">
      <c r="E79" s="108"/>
      <c r="F79" s="108"/>
      <c r="G79" s="122"/>
      <c r="H79" s="108"/>
      <c r="Q79" s="68"/>
      <c r="R79" s="68"/>
    </row>
    <row r="80" spans="5:18" x14ac:dyDescent="0.25">
      <c r="G80" s="154"/>
      <c r="Q80" s="68"/>
      <c r="R80" s="68"/>
    </row>
    <row r="81" spans="5:18" x14ac:dyDescent="0.25">
      <c r="E81" s="156"/>
      <c r="F81" s="156"/>
      <c r="G81" s="122"/>
      <c r="H81" s="156"/>
      <c r="Q81" s="68"/>
      <c r="R81" s="68"/>
    </row>
    <row r="82" spans="5:18" x14ac:dyDescent="0.25">
      <c r="G82" s="120"/>
      <c r="Q82" s="68"/>
      <c r="R82" s="68"/>
    </row>
    <row r="83" spans="5:18" x14ac:dyDescent="0.25">
      <c r="G83" s="120"/>
      <c r="Q83" s="68"/>
      <c r="R83" s="68"/>
    </row>
    <row r="84" spans="5:18" x14ac:dyDescent="0.25">
      <c r="E84" s="156"/>
      <c r="F84" s="156"/>
      <c r="G84" s="154"/>
      <c r="H84" s="156"/>
      <c r="Q84" s="68"/>
      <c r="R84" s="68"/>
    </row>
    <row r="85" spans="5:18" x14ac:dyDescent="0.25">
      <c r="E85" s="156"/>
      <c r="F85" s="156"/>
      <c r="G85" s="154"/>
      <c r="H85" s="156"/>
      <c r="Q85" s="68"/>
      <c r="R85" s="68"/>
    </row>
    <row r="86" spans="5:18" x14ac:dyDescent="0.25">
      <c r="E86" s="108"/>
      <c r="F86" s="108"/>
      <c r="G86" s="122"/>
      <c r="H86" s="108"/>
      <c r="Q86" s="68"/>
      <c r="R86" s="68"/>
    </row>
    <row r="87" spans="5:18" x14ac:dyDescent="0.25">
      <c r="E87" s="156"/>
      <c r="F87" s="156"/>
      <c r="G87" s="154"/>
      <c r="H87" s="156"/>
      <c r="Q87" s="68"/>
      <c r="R87" s="68"/>
    </row>
    <row r="88" spans="5:18" x14ac:dyDescent="0.25">
      <c r="E88" s="156"/>
      <c r="F88" s="156"/>
      <c r="G88" s="154"/>
      <c r="H88" s="156"/>
      <c r="Q88" s="68"/>
      <c r="R88" s="68"/>
    </row>
    <row r="89" spans="5:18" x14ac:dyDescent="0.25">
      <c r="G89" s="120"/>
      <c r="Q89" s="68"/>
      <c r="R89" s="68"/>
    </row>
    <row r="90" spans="5:18" x14ac:dyDescent="0.25">
      <c r="G90" s="120"/>
      <c r="Q90" s="68"/>
      <c r="R90" s="68"/>
    </row>
    <row r="91" spans="5:18" x14ac:dyDescent="0.25">
      <c r="G91" s="154"/>
      <c r="Q91" s="68"/>
      <c r="R91" s="68"/>
    </row>
    <row r="92" spans="5:18" x14ac:dyDescent="0.25">
      <c r="G92" s="154"/>
      <c r="Q92" s="68"/>
      <c r="R92" s="68"/>
    </row>
    <row r="93" spans="5:18" x14ac:dyDescent="0.25">
      <c r="G93" s="120"/>
      <c r="Q93" s="68"/>
      <c r="R93" s="68"/>
    </row>
    <row r="94" spans="5:18" x14ac:dyDescent="0.25">
      <c r="E94" s="156"/>
      <c r="F94" s="156"/>
      <c r="G94" s="154"/>
      <c r="H94" s="156"/>
      <c r="Q94" s="68"/>
      <c r="R94" s="68"/>
    </row>
    <row r="95" spans="5:18" x14ac:dyDescent="0.25">
      <c r="G95" s="120"/>
      <c r="Q95" s="68"/>
      <c r="R95" s="68"/>
    </row>
    <row r="96" spans="5:18" x14ac:dyDescent="0.25">
      <c r="G96" s="120"/>
      <c r="Q96" s="68"/>
      <c r="R96" s="68"/>
    </row>
    <row r="97" spans="5:18" x14ac:dyDescent="0.25">
      <c r="G97" s="120"/>
      <c r="Q97" s="68"/>
      <c r="R97" s="68"/>
    </row>
    <row r="98" spans="5:18" x14ac:dyDescent="0.25">
      <c r="G98" s="154"/>
      <c r="Q98" s="68"/>
      <c r="R98" s="68"/>
    </row>
    <row r="99" spans="5:18" x14ac:dyDescent="0.25">
      <c r="G99" s="154"/>
      <c r="Q99" s="68"/>
      <c r="R99" s="68"/>
    </row>
    <row r="100" spans="5:18" x14ac:dyDescent="0.25">
      <c r="G100" s="154"/>
      <c r="Q100" s="68"/>
      <c r="R100" s="68"/>
    </row>
    <row r="101" spans="5:18" x14ac:dyDescent="0.25">
      <c r="E101" s="108"/>
      <c r="F101" s="108"/>
      <c r="G101" s="122"/>
      <c r="H101" s="108"/>
      <c r="Q101" s="68"/>
      <c r="R101" s="68"/>
    </row>
    <row r="102" spans="5:18" x14ac:dyDescent="0.25">
      <c r="E102" s="156"/>
      <c r="F102" s="156"/>
      <c r="G102" s="122"/>
      <c r="H102" s="156"/>
      <c r="Q102" s="68"/>
      <c r="R102" s="68"/>
    </row>
    <row r="103" spans="5:18" x14ac:dyDescent="0.25">
      <c r="G103" s="120"/>
      <c r="Q103" s="68"/>
      <c r="R103" s="68"/>
    </row>
    <row r="104" spans="5:18" x14ac:dyDescent="0.25">
      <c r="G104" s="154"/>
      <c r="Q104" s="68"/>
      <c r="R104" s="68"/>
    </row>
    <row r="105" spans="5:18" x14ac:dyDescent="0.25">
      <c r="G105" s="154"/>
      <c r="Q105" s="68"/>
      <c r="R105" s="68"/>
    </row>
    <row r="106" spans="5:18" x14ac:dyDescent="0.25">
      <c r="G106" s="120"/>
      <c r="Q106" s="68"/>
      <c r="R106" s="68"/>
    </row>
    <row r="107" spans="5:18" x14ac:dyDescent="0.25">
      <c r="E107" s="156"/>
      <c r="F107" s="156"/>
      <c r="G107" s="122"/>
      <c r="H107" s="156"/>
      <c r="Q107" s="68"/>
      <c r="R107" s="68"/>
    </row>
    <row r="108" spans="5:18" x14ac:dyDescent="0.25">
      <c r="E108" s="156"/>
      <c r="F108" s="156"/>
      <c r="G108" s="122"/>
      <c r="H108" s="156"/>
      <c r="Q108" s="68"/>
      <c r="R108" s="68"/>
    </row>
    <row r="109" spans="5:18" x14ac:dyDescent="0.25">
      <c r="G109" s="154"/>
      <c r="Q109" s="68"/>
      <c r="R109" s="68"/>
    </row>
    <row r="110" spans="5:18" x14ac:dyDescent="0.25">
      <c r="G110" s="120"/>
      <c r="Q110" s="68"/>
      <c r="R110" s="68"/>
    </row>
    <row r="111" spans="5:18" x14ac:dyDescent="0.25">
      <c r="G111" s="120"/>
      <c r="Q111" s="68"/>
      <c r="R111" s="68"/>
    </row>
    <row r="112" spans="5:18" x14ac:dyDescent="0.25">
      <c r="G112" s="154"/>
      <c r="Q112" s="68"/>
      <c r="R112" s="68"/>
    </row>
    <row r="113" spans="5:18" x14ac:dyDescent="0.25">
      <c r="G113" s="120"/>
      <c r="Q113" s="68"/>
      <c r="R113" s="68"/>
    </row>
    <row r="114" spans="5:18" x14ac:dyDescent="0.25">
      <c r="E114" s="156"/>
      <c r="F114" s="156"/>
      <c r="G114" s="122"/>
      <c r="H114" s="156"/>
      <c r="Q114" s="68"/>
      <c r="R114" s="68"/>
    </row>
    <row r="115" spans="5:18" x14ac:dyDescent="0.25">
      <c r="E115" s="108"/>
      <c r="F115" s="108"/>
      <c r="G115" s="122"/>
      <c r="H115" s="108"/>
      <c r="Q115" s="68"/>
      <c r="R115" s="68"/>
    </row>
    <row r="116" spans="5:18" x14ac:dyDescent="0.25">
      <c r="G116" s="154"/>
      <c r="Q116" s="68"/>
      <c r="R116" s="68"/>
    </row>
    <row r="117" spans="5:18" x14ac:dyDescent="0.25">
      <c r="G117" s="154"/>
      <c r="Q117" s="68"/>
      <c r="R117" s="68"/>
    </row>
    <row r="118" spans="5:18" x14ac:dyDescent="0.25">
      <c r="E118" s="156"/>
      <c r="F118" s="156"/>
      <c r="G118" s="122"/>
      <c r="H118" s="156"/>
      <c r="Q118" s="68"/>
      <c r="R118" s="68"/>
    </row>
    <row r="119" spans="5:18" x14ac:dyDescent="0.25">
      <c r="G119" s="154"/>
      <c r="Q119" s="68"/>
      <c r="R119" s="68"/>
    </row>
    <row r="120" spans="5:18" x14ac:dyDescent="0.25">
      <c r="G120" s="120"/>
      <c r="Q120" s="68"/>
      <c r="R120" s="68"/>
    </row>
    <row r="121" spans="5:18" x14ac:dyDescent="0.25">
      <c r="G121" s="120"/>
      <c r="Q121" s="68"/>
      <c r="R121" s="68"/>
    </row>
    <row r="122" spans="5:18" x14ac:dyDescent="0.25">
      <c r="G122" s="154"/>
      <c r="Q122" s="68"/>
      <c r="R122" s="68"/>
    </row>
    <row r="123" spans="5:18" x14ac:dyDescent="0.25">
      <c r="G123" s="120"/>
      <c r="Q123" s="68"/>
      <c r="R123" s="68"/>
    </row>
    <row r="124" spans="5:18" x14ac:dyDescent="0.25">
      <c r="G124" s="154"/>
      <c r="Q124" s="68"/>
      <c r="R124" s="68"/>
    </row>
    <row r="125" spans="5:18" x14ac:dyDescent="0.25">
      <c r="G125" s="120"/>
      <c r="Q125" s="68"/>
      <c r="R125" s="68"/>
    </row>
    <row r="126" spans="5:18" x14ac:dyDescent="0.25">
      <c r="G126" s="154"/>
      <c r="Q126" s="68"/>
      <c r="R126" s="68"/>
    </row>
    <row r="127" spans="5:18" x14ac:dyDescent="0.25">
      <c r="G127" s="154"/>
      <c r="Q127" s="68"/>
      <c r="R127" s="68"/>
    </row>
    <row r="128" spans="5:18" x14ac:dyDescent="0.25">
      <c r="E128" s="108"/>
      <c r="F128" s="108"/>
      <c r="G128" s="122"/>
      <c r="H128" s="108"/>
      <c r="Q128" s="68"/>
      <c r="R128" s="68"/>
    </row>
    <row r="129" spans="7:18" x14ac:dyDescent="0.25">
      <c r="G129" s="154"/>
      <c r="Q129" s="68"/>
      <c r="R129" s="68"/>
    </row>
    <row r="130" spans="7:18" x14ac:dyDescent="0.25">
      <c r="G130" s="120"/>
      <c r="Q130" s="68"/>
      <c r="R130" s="68"/>
    </row>
    <row r="131" spans="7:18" x14ac:dyDescent="0.25">
      <c r="G131" s="154"/>
      <c r="Q131" s="68"/>
      <c r="R131" s="68"/>
    </row>
    <row r="132" spans="7:18" x14ac:dyDescent="0.25">
      <c r="G132" s="154"/>
      <c r="Q132" s="68"/>
      <c r="R132" s="68"/>
    </row>
    <row r="133" spans="7:18" x14ac:dyDescent="0.25">
      <c r="G133" s="120"/>
      <c r="Q133" s="68"/>
      <c r="R133" s="68"/>
    </row>
    <row r="134" spans="7:18" x14ac:dyDescent="0.25">
      <c r="G134" s="154"/>
      <c r="Q134" s="68"/>
      <c r="R134" s="68"/>
    </row>
    <row r="135" spans="7:18" x14ac:dyDescent="0.25">
      <c r="G135" s="154"/>
      <c r="Q135" s="68"/>
      <c r="R135" s="68"/>
    </row>
    <row r="136" spans="7:18" x14ac:dyDescent="0.25">
      <c r="G136" s="154"/>
      <c r="Q136" s="68"/>
      <c r="R136" s="68"/>
    </row>
    <row r="137" spans="7:18" x14ac:dyDescent="0.25">
      <c r="G137" s="120"/>
      <c r="Q137" s="68"/>
      <c r="R137" s="68"/>
    </row>
    <row r="138" spans="7:18" x14ac:dyDescent="0.25">
      <c r="G138" s="120"/>
      <c r="Q138" s="68"/>
      <c r="R138" s="68"/>
    </row>
    <row r="139" spans="7:18" x14ac:dyDescent="0.25">
      <c r="G139" s="120"/>
      <c r="Q139" s="68"/>
      <c r="R139" s="68"/>
    </row>
    <row r="140" spans="7:18" x14ac:dyDescent="0.25">
      <c r="G140" s="154"/>
      <c r="Q140" s="68"/>
      <c r="R140" s="68"/>
    </row>
    <row r="141" spans="7:18" x14ac:dyDescent="0.25">
      <c r="G141" s="154"/>
      <c r="Q141" s="68"/>
      <c r="R141" s="68"/>
    </row>
    <row r="142" spans="7:18" x14ac:dyDescent="0.25">
      <c r="G142" s="120"/>
      <c r="Q142" s="68"/>
      <c r="R142" s="68"/>
    </row>
    <row r="143" spans="7:18" x14ac:dyDescent="0.25">
      <c r="G143" s="154"/>
      <c r="Q143" s="68"/>
      <c r="R143" s="68"/>
    </row>
    <row r="144" spans="7:18" x14ac:dyDescent="0.25">
      <c r="G144" s="154"/>
      <c r="Q144" s="68"/>
      <c r="R144" s="68"/>
    </row>
    <row r="145" spans="5:18" x14ac:dyDescent="0.25">
      <c r="G145" s="154"/>
      <c r="Q145" s="68"/>
      <c r="R145" s="68"/>
    </row>
    <row r="146" spans="5:18" x14ac:dyDescent="0.25">
      <c r="G146" s="120"/>
      <c r="Q146" s="68"/>
      <c r="R146" s="68"/>
    </row>
    <row r="147" spans="5:18" x14ac:dyDescent="0.25">
      <c r="G147" s="120"/>
      <c r="Q147" s="68"/>
      <c r="R147" s="68"/>
    </row>
    <row r="148" spans="5:18" x14ac:dyDescent="0.25">
      <c r="G148" s="154"/>
      <c r="Q148" s="68"/>
      <c r="R148" s="68"/>
    </row>
    <row r="149" spans="5:18" x14ac:dyDescent="0.25">
      <c r="G149" s="120"/>
      <c r="Q149" s="68"/>
      <c r="R149" s="68"/>
    </row>
    <row r="150" spans="5:18" x14ac:dyDescent="0.25">
      <c r="G150" s="154"/>
      <c r="Q150" s="68"/>
      <c r="R150" s="68"/>
    </row>
    <row r="151" spans="5:18" x14ac:dyDescent="0.25">
      <c r="G151" s="120"/>
      <c r="Q151" s="68"/>
      <c r="R151" s="68"/>
    </row>
    <row r="152" spans="5:18" x14ac:dyDescent="0.25">
      <c r="E152" s="156"/>
      <c r="F152" s="156"/>
      <c r="G152" s="122"/>
      <c r="H152" s="156"/>
      <c r="Q152" s="68"/>
      <c r="R152" s="68"/>
    </row>
    <row r="153" spans="5:18" x14ac:dyDescent="0.25">
      <c r="G153" s="120"/>
      <c r="Q153" s="68"/>
      <c r="R153" s="68"/>
    </row>
    <row r="154" spans="5:18" x14ac:dyDescent="0.25">
      <c r="G154" s="120"/>
      <c r="Q154" s="68"/>
      <c r="R154" s="68"/>
    </row>
    <row r="155" spans="5:18" x14ac:dyDescent="0.25">
      <c r="G155" s="154"/>
      <c r="Q155" s="68"/>
      <c r="R155" s="68"/>
    </row>
    <row r="156" spans="5:18" x14ac:dyDescent="0.25">
      <c r="E156" s="156"/>
      <c r="F156" s="156"/>
      <c r="G156" s="122"/>
      <c r="H156" s="156"/>
      <c r="Q156" s="68"/>
      <c r="R156" s="68"/>
    </row>
    <row r="157" spans="5:18" x14ac:dyDescent="0.25">
      <c r="G157" s="120"/>
      <c r="Q157" s="68"/>
      <c r="R157" s="68"/>
    </row>
    <row r="158" spans="5:18" x14ac:dyDescent="0.25">
      <c r="G158" s="154"/>
      <c r="Q158" s="68"/>
      <c r="R158" s="68"/>
    </row>
    <row r="159" spans="5:18" x14ac:dyDescent="0.25">
      <c r="G159" s="120"/>
      <c r="Q159" s="68"/>
      <c r="R159" s="68"/>
    </row>
    <row r="160" spans="5:18" x14ac:dyDescent="0.25">
      <c r="G160" s="120"/>
      <c r="Q160" s="68"/>
      <c r="R160" s="68"/>
    </row>
    <row r="161" spans="5:18" x14ac:dyDescent="0.25">
      <c r="G161" s="120"/>
      <c r="Q161" s="68"/>
      <c r="R161" s="68"/>
    </row>
    <row r="162" spans="5:18" x14ac:dyDescent="0.25">
      <c r="G162" s="120"/>
      <c r="Q162" s="68"/>
      <c r="R162" s="68"/>
    </row>
    <row r="163" spans="5:18" x14ac:dyDescent="0.25">
      <c r="G163" s="120"/>
      <c r="Q163" s="68"/>
      <c r="R163" s="68"/>
    </row>
    <row r="164" spans="5:18" x14ac:dyDescent="0.25">
      <c r="E164" s="156"/>
      <c r="F164" s="156"/>
      <c r="G164" s="122"/>
      <c r="H164" s="156"/>
      <c r="Q164" s="68"/>
      <c r="R164" s="68"/>
    </row>
    <row r="165" spans="5:18" x14ac:dyDescent="0.25">
      <c r="G165" s="154"/>
      <c r="Q165" s="68"/>
      <c r="R165" s="68"/>
    </row>
    <row r="166" spans="5:18" x14ac:dyDescent="0.25">
      <c r="G166" s="120"/>
      <c r="Q166" s="68"/>
      <c r="R166" s="68"/>
    </row>
    <row r="167" spans="5:18" x14ac:dyDescent="0.25">
      <c r="G167" s="154"/>
      <c r="Q167" s="68"/>
      <c r="R167" s="68"/>
    </row>
    <row r="168" spans="5:18" x14ac:dyDescent="0.25">
      <c r="G168" s="154"/>
      <c r="Q168" s="68"/>
      <c r="R168" s="68"/>
    </row>
    <row r="169" spans="5:18" x14ac:dyDescent="0.25">
      <c r="G169" s="154"/>
      <c r="Q169" s="68"/>
      <c r="R169" s="68"/>
    </row>
    <row r="170" spans="5:18" x14ac:dyDescent="0.25">
      <c r="G170" s="154"/>
      <c r="Q170" s="68"/>
      <c r="R170" s="68"/>
    </row>
    <row r="171" spans="5:18" x14ac:dyDescent="0.25">
      <c r="G171" s="154"/>
      <c r="Q171" s="68"/>
      <c r="R171" s="68"/>
    </row>
    <row r="172" spans="5:18" x14ac:dyDescent="0.25">
      <c r="G172" s="120"/>
      <c r="Q172" s="68"/>
      <c r="R172" s="68"/>
    </row>
    <row r="173" spans="5:18" x14ac:dyDescent="0.25">
      <c r="G173" s="120"/>
      <c r="Q173" s="68"/>
      <c r="R173" s="68"/>
    </row>
    <row r="174" spans="5:18" x14ac:dyDescent="0.25">
      <c r="G174" s="154"/>
      <c r="Q174" s="68"/>
      <c r="R174" s="68"/>
    </row>
    <row r="175" spans="5:18" x14ac:dyDescent="0.25">
      <c r="E175" s="156"/>
      <c r="F175" s="156"/>
      <c r="G175" s="154"/>
      <c r="H175" s="156"/>
      <c r="Q175" s="68"/>
      <c r="R175" s="68"/>
    </row>
    <row r="176" spans="5:18" x14ac:dyDescent="0.25">
      <c r="G176" s="120"/>
      <c r="Q176" s="68"/>
      <c r="R176" s="68"/>
    </row>
    <row r="177" spans="5:18" x14ac:dyDescent="0.25">
      <c r="G177" s="154"/>
      <c r="Q177" s="68"/>
      <c r="R177" s="68"/>
    </row>
    <row r="178" spans="5:18" x14ac:dyDescent="0.25">
      <c r="G178" s="120"/>
      <c r="Q178" s="68"/>
      <c r="R178" s="68"/>
    </row>
    <row r="179" spans="5:18" x14ac:dyDescent="0.25">
      <c r="G179" s="154"/>
      <c r="Q179" s="68"/>
      <c r="R179" s="68"/>
    </row>
    <row r="180" spans="5:18" x14ac:dyDescent="0.25">
      <c r="G180" s="154"/>
      <c r="Q180" s="68"/>
      <c r="R180" s="68"/>
    </row>
    <row r="181" spans="5:18" x14ac:dyDescent="0.25">
      <c r="G181" s="154"/>
      <c r="Q181" s="68"/>
      <c r="R181" s="68"/>
    </row>
    <row r="182" spans="5:18" x14ac:dyDescent="0.25">
      <c r="G182" s="120"/>
      <c r="Q182" s="68"/>
      <c r="R182" s="68"/>
    </row>
    <row r="183" spans="5:18" x14ac:dyDescent="0.25">
      <c r="G183" s="154"/>
      <c r="Q183" s="68"/>
      <c r="R183" s="68"/>
    </row>
    <row r="184" spans="5:18" x14ac:dyDescent="0.25">
      <c r="G184" s="154"/>
      <c r="Q184" s="68"/>
      <c r="R184" s="68"/>
    </row>
    <row r="185" spans="5:18" x14ac:dyDescent="0.25">
      <c r="E185" s="108"/>
      <c r="F185" s="108"/>
      <c r="G185" s="122"/>
      <c r="H185" s="108"/>
      <c r="Q185" s="68"/>
      <c r="R185" s="68"/>
    </row>
    <row r="186" spans="5:18" x14ac:dyDescent="0.25">
      <c r="G186" s="154"/>
      <c r="Q186" s="68"/>
      <c r="R186" s="68"/>
    </row>
    <row r="187" spans="5:18" x14ac:dyDescent="0.25">
      <c r="G187" s="154"/>
      <c r="Q187" s="68"/>
      <c r="R187" s="68"/>
    </row>
    <row r="188" spans="5:18" x14ac:dyDescent="0.25">
      <c r="E188" s="108"/>
      <c r="F188" s="108"/>
      <c r="G188" s="122"/>
      <c r="H188" s="108"/>
      <c r="Q188" s="68"/>
      <c r="R188" s="68"/>
    </row>
    <row r="189" spans="5:18" x14ac:dyDescent="0.25">
      <c r="G189" s="120"/>
      <c r="Q189" s="68"/>
      <c r="R189" s="68"/>
    </row>
    <row r="190" spans="5:18" x14ac:dyDescent="0.25">
      <c r="G190" s="154"/>
      <c r="Q190" s="68"/>
      <c r="R190" s="68"/>
    </row>
    <row r="191" spans="5:18" x14ac:dyDescent="0.25">
      <c r="G191" s="154"/>
      <c r="Q191" s="68"/>
      <c r="R191" s="68"/>
    </row>
    <row r="192" spans="5:18" x14ac:dyDescent="0.25">
      <c r="G192" s="120"/>
      <c r="Q192" s="68"/>
      <c r="R192" s="68"/>
    </row>
    <row r="193" spans="5:18" x14ac:dyDescent="0.25">
      <c r="G193" s="120"/>
      <c r="Q193" s="68"/>
      <c r="R193" s="68"/>
    </row>
    <row r="194" spans="5:18" x14ac:dyDescent="0.25">
      <c r="E194" s="156"/>
      <c r="F194" s="156"/>
      <c r="G194" s="122"/>
      <c r="H194" s="156"/>
      <c r="Q194" s="68"/>
      <c r="R194" s="68"/>
    </row>
    <row r="195" spans="5:18" x14ac:dyDescent="0.25">
      <c r="G195" s="154"/>
      <c r="Q195" s="68"/>
      <c r="R195" s="68"/>
    </row>
    <row r="196" spans="5:18" x14ac:dyDescent="0.25">
      <c r="G196" s="154"/>
      <c r="Q196" s="68"/>
      <c r="R196" s="68"/>
    </row>
    <row r="197" spans="5:18" x14ac:dyDescent="0.25">
      <c r="G197" s="154"/>
      <c r="Q197" s="68"/>
      <c r="R197" s="68"/>
    </row>
    <row r="198" spans="5:18" x14ac:dyDescent="0.25">
      <c r="G198" s="154"/>
      <c r="Q198" s="68"/>
      <c r="R198" s="68"/>
    </row>
    <row r="199" spans="5:18" x14ac:dyDescent="0.25">
      <c r="G199" s="120"/>
      <c r="Q199" s="68"/>
      <c r="R199" s="68"/>
    </row>
    <row r="200" spans="5:18" x14ac:dyDescent="0.25">
      <c r="G200" s="154"/>
      <c r="Q200" s="68"/>
      <c r="R200" s="68"/>
    </row>
    <row r="201" spans="5:18" x14ac:dyDescent="0.25">
      <c r="G201" s="120"/>
      <c r="Q201" s="68"/>
      <c r="R201" s="68"/>
    </row>
    <row r="202" spans="5:18" x14ac:dyDescent="0.25">
      <c r="E202" s="156"/>
      <c r="F202" s="156"/>
      <c r="G202" s="154"/>
      <c r="H202" s="156"/>
      <c r="Q202" s="68"/>
      <c r="R202" s="68"/>
    </row>
    <row r="203" spans="5:18" x14ac:dyDescent="0.25">
      <c r="G203" s="154"/>
      <c r="Q203" s="68"/>
      <c r="R203" s="68"/>
    </row>
    <row r="204" spans="5:18" x14ac:dyDescent="0.25">
      <c r="G204" s="120"/>
      <c r="Q204" s="68"/>
      <c r="R204" s="68"/>
    </row>
    <row r="205" spans="5:18" x14ac:dyDescent="0.25">
      <c r="G205" s="120"/>
      <c r="Q205" s="68"/>
      <c r="R205" s="68"/>
    </row>
    <row r="206" spans="5:18" x14ac:dyDescent="0.25">
      <c r="E206" s="156"/>
      <c r="F206" s="156"/>
      <c r="G206" s="122"/>
      <c r="H206" s="156"/>
      <c r="Q206" s="68"/>
      <c r="R206" s="68"/>
    </row>
    <row r="207" spans="5:18" x14ac:dyDescent="0.25">
      <c r="G207" s="154"/>
      <c r="Q207" s="68"/>
      <c r="R207" s="68"/>
    </row>
    <row r="208" spans="5:18" x14ac:dyDescent="0.25">
      <c r="G208" s="154"/>
      <c r="Q208" s="68"/>
      <c r="R208" s="68"/>
    </row>
    <row r="209" spans="5:18" x14ac:dyDescent="0.25">
      <c r="G209" s="154"/>
      <c r="Q209" s="68"/>
      <c r="R209" s="68"/>
    </row>
    <row r="210" spans="5:18" x14ac:dyDescent="0.25">
      <c r="G210" s="154"/>
      <c r="Q210" s="68"/>
      <c r="R210" s="68"/>
    </row>
    <row r="211" spans="5:18" x14ac:dyDescent="0.25">
      <c r="G211" s="154"/>
      <c r="Q211" s="68"/>
      <c r="R211" s="68"/>
    </row>
    <row r="212" spans="5:18" x14ac:dyDescent="0.25">
      <c r="G212" s="120"/>
      <c r="Q212" s="68"/>
      <c r="R212" s="68"/>
    </row>
    <row r="213" spans="5:18" x14ac:dyDescent="0.25">
      <c r="E213" s="156"/>
      <c r="F213" s="156"/>
      <c r="G213" s="122"/>
      <c r="H213" s="156"/>
      <c r="Q213" s="68"/>
      <c r="R213" s="68"/>
    </row>
    <row r="214" spans="5:18" x14ac:dyDescent="0.25">
      <c r="G214" s="154"/>
      <c r="Q214" s="68"/>
      <c r="R214" s="68"/>
    </row>
    <row r="215" spans="5:18" x14ac:dyDescent="0.25">
      <c r="G215" s="154"/>
      <c r="Q215" s="68"/>
      <c r="R215" s="68"/>
    </row>
    <row r="216" spans="5:18" x14ac:dyDescent="0.25">
      <c r="E216" s="156"/>
      <c r="F216" s="156"/>
      <c r="G216" s="122"/>
      <c r="H216" s="156"/>
      <c r="Q216" s="68"/>
      <c r="R216" s="68"/>
    </row>
    <row r="217" spans="5:18" x14ac:dyDescent="0.25">
      <c r="G217" s="154"/>
      <c r="Q217" s="68"/>
      <c r="R217" s="68"/>
    </row>
    <row r="218" spans="5:18" x14ac:dyDescent="0.25">
      <c r="E218" s="108"/>
      <c r="F218" s="108"/>
      <c r="G218" s="122"/>
      <c r="H218" s="108"/>
      <c r="Q218" s="68"/>
      <c r="R218" s="68"/>
    </row>
    <row r="219" spans="5:18" x14ac:dyDescent="0.25">
      <c r="G219" s="120"/>
      <c r="Q219" s="68"/>
      <c r="R219" s="68"/>
    </row>
    <row r="220" spans="5:18" x14ac:dyDescent="0.25">
      <c r="E220" s="156"/>
      <c r="F220" s="156"/>
      <c r="G220" s="122"/>
      <c r="H220" s="156"/>
      <c r="Q220" s="68"/>
      <c r="R220" s="68"/>
    </row>
    <row r="221" spans="5:18" x14ac:dyDescent="0.25">
      <c r="G221" s="120"/>
      <c r="Q221" s="68"/>
      <c r="R221" s="68"/>
    </row>
    <row r="222" spans="5:18" x14ac:dyDescent="0.25">
      <c r="G222" s="154"/>
      <c r="Q222" s="68"/>
      <c r="R222" s="68"/>
    </row>
    <row r="223" spans="5:18" x14ac:dyDescent="0.25">
      <c r="G223" s="120"/>
      <c r="Q223" s="68"/>
      <c r="R223" s="68"/>
    </row>
    <row r="224" spans="5:18" x14ac:dyDescent="0.25">
      <c r="E224" s="156"/>
      <c r="F224" s="156"/>
      <c r="G224" s="122"/>
      <c r="H224" s="156"/>
      <c r="Q224" s="68"/>
      <c r="R224" s="68"/>
    </row>
    <row r="225" spans="5:18" x14ac:dyDescent="0.25">
      <c r="G225" s="154"/>
      <c r="Q225" s="68"/>
      <c r="R225" s="68"/>
    </row>
    <row r="226" spans="5:18" x14ac:dyDescent="0.25">
      <c r="G226" s="154"/>
      <c r="Q226" s="68"/>
      <c r="R226" s="68"/>
    </row>
    <row r="227" spans="5:18" x14ac:dyDescent="0.25">
      <c r="G227" s="120"/>
      <c r="Q227" s="68"/>
      <c r="R227" s="68"/>
    </row>
    <row r="228" spans="5:18" x14ac:dyDescent="0.25">
      <c r="G228" s="120"/>
      <c r="Q228" s="68"/>
      <c r="R228" s="68"/>
    </row>
    <row r="229" spans="5:18" x14ac:dyDescent="0.25">
      <c r="G229" s="120"/>
      <c r="Q229" s="68"/>
      <c r="R229" s="68"/>
    </row>
    <row r="230" spans="5:18" x14ac:dyDescent="0.25">
      <c r="G230" s="154"/>
      <c r="Q230" s="68"/>
      <c r="R230" s="68"/>
    </row>
    <row r="231" spans="5:18" x14ac:dyDescent="0.25">
      <c r="G231" s="120"/>
      <c r="Q231" s="68"/>
      <c r="R231" s="68"/>
    </row>
    <row r="232" spans="5:18" x14ac:dyDescent="0.25">
      <c r="E232" s="156"/>
      <c r="F232" s="156"/>
      <c r="G232" s="122"/>
      <c r="H232" s="156"/>
      <c r="Q232" s="68"/>
      <c r="R232" s="68"/>
    </row>
    <row r="233" spans="5:18" x14ac:dyDescent="0.25">
      <c r="E233" s="108"/>
      <c r="F233" s="108"/>
      <c r="G233" s="122"/>
      <c r="H233" s="108"/>
      <c r="Q233" s="68"/>
      <c r="R233" s="68"/>
    </row>
    <row r="234" spans="5:18" x14ac:dyDescent="0.25">
      <c r="G234" s="154"/>
      <c r="Q234" s="68"/>
      <c r="R234" s="68"/>
    </row>
    <row r="235" spans="5:18" x14ac:dyDescent="0.25">
      <c r="E235" s="156"/>
      <c r="F235" s="156"/>
      <c r="G235" s="122"/>
      <c r="H235" s="156"/>
      <c r="Q235" s="68"/>
      <c r="R235" s="68"/>
    </row>
    <row r="236" spans="5:18" x14ac:dyDescent="0.25">
      <c r="G236" s="120"/>
      <c r="Q236" s="68"/>
      <c r="R236" s="68"/>
    </row>
    <row r="237" spans="5:18" x14ac:dyDescent="0.25">
      <c r="G237" s="120"/>
      <c r="Q237" s="68"/>
      <c r="R237" s="68"/>
    </row>
    <row r="238" spans="5:18" x14ac:dyDescent="0.25">
      <c r="G238" s="154"/>
      <c r="Q238" s="68"/>
      <c r="R238" s="68"/>
    </row>
    <row r="239" spans="5:18" x14ac:dyDescent="0.25">
      <c r="G239" s="120"/>
      <c r="Q239" s="68"/>
      <c r="R239" s="68"/>
    </row>
    <row r="240" spans="5:18" x14ac:dyDescent="0.25">
      <c r="G240" s="154"/>
      <c r="Q240" s="68"/>
      <c r="R240" s="68"/>
    </row>
    <row r="241" spans="7:18" x14ac:dyDescent="0.25">
      <c r="Q241" s="68"/>
      <c r="R241" s="68"/>
    </row>
    <row r="242" spans="7:18" x14ac:dyDescent="0.25">
      <c r="G242" s="154"/>
      <c r="Q242" s="68"/>
      <c r="R242" s="68"/>
    </row>
    <row r="243" spans="7:18" x14ac:dyDescent="0.25">
      <c r="G243" s="154"/>
      <c r="Q243" s="68"/>
      <c r="R243" s="68"/>
    </row>
    <row r="244" spans="7:18" x14ac:dyDescent="0.25">
      <c r="G244" s="154"/>
      <c r="Q244" s="68"/>
      <c r="R244" s="68"/>
    </row>
    <row r="245" spans="7:18" x14ac:dyDescent="0.25">
      <c r="G245" s="154"/>
      <c r="Q245" s="68"/>
      <c r="R245" s="68"/>
    </row>
    <row r="246" spans="7:18" x14ac:dyDescent="0.25">
      <c r="G246" s="154"/>
      <c r="Q246" s="68"/>
      <c r="R246" s="68"/>
    </row>
    <row r="247" spans="7:18" x14ac:dyDescent="0.25">
      <c r="G247" s="154"/>
      <c r="Q247" s="68"/>
      <c r="R247" s="68"/>
    </row>
    <row r="248" spans="7:18" x14ac:dyDescent="0.25">
      <c r="G248" s="154"/>
      <c r="Q248" s="68"/>
      <c r="R248" s="68"/>
    </row>
    <row r="249" spans="7:18" x14ac:dyDescent="0.25">
      <c r="G249" s="154"/>
      <c r="Q249" s="68"/>
      <c r="R249" s="68"/>
    </row>
    <row r="250" spans="7:18" x14ac:dyDescent="0.25">
      <c r="G250" s="154"/>
      <c r="Q250" s="68"/>
      <c r="R250" s="68"/>
    </row>
    <row r="251" spans="7:18" x14ac:dyDescent="0.25">
      <c r="G251" s="154"/>
      <c r="Q251" s="68"/>
      <c r="R251" s="68"/>
    </row>
    <row r="252" spans="7:18" x14ac:dyDescent="0.25">
      <c r="G252" s="154"/>
      <c r="Q252" s="68"/>
      <c r="R252" s="68"/>
    </row>
    <row r="253" spans="7:18" x14ac:dyDescent="0.25">
      <c r="G253" s="154"/>
      <c r="Q253" s="68"/>
      <c r="R253" s="68"/>
    </row>
    <row r="254" spans="7:18" x14ac:dyDescent="0.25">
      <c r="G254" s="154"/>
      <c r="Q254" s="68"/>
      <c r="R254" s="68"/>
    </row>
    <row r="255" spans="7:18" x14ac:dyDescent="0.25">
      <c r="G255" s="154"/>
      <c r="Q255" s="68"/>
      <c r="R255" s="68"/>
    </row>
    <row r="256" spans="7:18" x14ac:dyDescent="0.25">
      <c r="G256" s="154"/>
      <c r="Q256" s="68"/>
      <c r="R256" s="68"/>
    </row>
    <row r="257" spans="5:18" x14ac:dyDescent="0.25">
      <c r="G257" s="154"/>
      <c r="Q257" s="68"/>
      <c r="R257" s="68"/>
    </row>
    <row r="258" spans="5:18" x14ac:dyDescent="0.25">
      <c r="G258" s="154"/>
      <c r="Q258" s="68"/>
      <c r="R258" s="68"/>
    </row>
    <row r="259" spans="5:18" x14ac:dyDescent="0.25">
      <c r="G259" s="154"/>
      <c r="Q259" s="68"/>
      <c r="R259" s="68"/>
    </row>
    <row r="260" spans="5:18" x14ac:dyDescent="0.25">
      <c r="G260" s="120"/>
      <c r="Q260" s="68"/>
      <c r="R260" s="68"/>
    </row>
    <row r="261" spans="5:18" x14ac:dyDescent="0.25">
      <c r="E261" s="156"/>
      <c r="F261" s="156"/>
      <c r="G261" s="154"/>
      <c r="H261" s="156"/>
      <c r="Q261" s="68"/>
      <c r="R261" s="68"/>
    </row>
    <row r="262" spans="5:18" x14ac:dyDescent="0.25">
      <c r="E262" s="156"/>
      <c r="F262" s="156"/>
      <c r="G262" s="154"/>
      <c r="H262" s="156"/>
      <c r="Q262" s="68"/>
      <c r="R262" s="68"/>
    </row>
    <row r="263" spans="5:18" x14ac:dyDescent="0.25">
      <c r="E263" s="156"/>
      <c r="F263" s="156"/>
      <c r="G263" s="154"/>
      <c r="H263" s="156"/>
      <c r="Q263" s="68"/>
      <c r="R263" s="68"/>
    </row>
    <row r="264" spans="5:18" x14ac:dyDescent="0.25">
      <c r="E264" s="156"/>
      <c r="F264" s="156"/>
      <c r="G264" s="154"/>
      <c r="H264" s="156"/>
      <c r="Q264" s="68"/>
      <c r="R264" s="68"/>
    </row>
    <row r="265" spans="5:18" x14ac:dyDescent="0.25">
      <c r="E265" s="156"/>
      <c r="F265" s="156"/>
      <c r="G265" s="154"/>
      <c r="H265" s="156"/>
      <c r="Q265" s="68"/>
      <c r="R265" s="68"/>
    </row>
    <row r="266" spans="5:18" x14ac:dyDescent="0.25">
      <c r="E266" s="156"/>
      <c r="F266" s="156"/>
      <c r="G266" s="154"/>
      <c r="H266" s="156"/>
      <c r="Q266" s="68"/>
      <c r="R266" s="68"/>
    </row>
    <row r="267" spans="5:18" x14ac:dyDescent="0.25">
      <c r="E267" s="156"/>
      <c r="F267" s="156"/>
      <c r="G267" s="154"/>
      <c r="H267" s="156"/>
      <c r="Q267" s="68"/>
      <c r="R267" s="68"/>
    </row>
    <row r="268" spans="5:18" x14ac:dyDescent="0.25">
      <c r="E268" s="156"/>
      <c r="F268" s="156"/>
      <c r="G268" s="154"/>
      <c r="H268" s="156"/>
      <c r="Q268" s="68"/>
      <c r="R268" s="68"/>
    </row>
    <row r="269" spans="5:18" x14ac:dyDescent="0.25">
      <c r="E269" s="156"/>
      <c r="F269" s="156"/>
      <c r="G269" s="154"/>
      <c r="H269" s="156"/>
      <c r="Q269" s="68"/>
      <c r="R269" s="68"/>
    </row>
    <row r="270" spans="5:18" x14ac:dyDescent="0.25">
      <c r="G270" s="154"/>
      <c r="Q270" s="68"/>
      <c r="R270" s="68"/>
    </row>
    <row r="271" spans="5:18" x14ac:dyDescent="0.25">
      <c r="G271" s="154"/>
      <c r="Q271" s="68"/>
      <c r="R271" s="68"/>
    </row>
    <row r="272" spans="5:18" x14ac:dyDescent="0.25">
      <c r="G272" s="154"/>
      <c r="Q272" s="68"/>
      <c r="R272" s="68"/>
    </row>
    <row r="273" spans="5:18" x14ac:dyDescent="0.25">
      <c r="E273" s="108"/>
      <c r="F273" s="108"/>
      <c r="G273" s="122"/>
      <c r="H273" s="108"/>
      <c r="Q273" s="68"/>
      <c r="R273" s="68"/>
    </row>
    <row r="274" spans="5:18" x14ac:dyDescent="0.25">
      <c r="G274" s="154"/>
      <c r="Q274" s="68"/>
      <c r="R274" s="68"/>
    </row>
    <row r="275" spans="5:18" x14ac:dyDescent="0.25">
      <c r="G275" s="154"/>
      <c r="Q275" s="68"/>
      <c r="R275" s="68"/>
    </row>
    <row r="276" spans="5:18" x14ac:dyDescent="0.25">
      <c r="E276" s="108"/>
      <c r="F276" s="108"/>
      <c r="G276" s="122"/>
      <c r="H276" s="108"/>
      <c r="Q276" s="68"/>
      <c r="R276" s="68"/>
    </row>
    <row r="277" spans="5:18" x14ac:dyDescent="0.25">
      <c r="G277" s="154"/>
      <c r="Q277" s="68"/>
      <c r="R277" s="68"/>
    </row>
    <row r="278" spans="5:18" x14ac:dyDescent="0.25">
      <c r="G278" s="154"/>
      <c r="Q278" s="68"/>
      <c r="R278" s="68"/>
    </row>
    <row r="279" spans="5:18" x14ac:dyDescent="0.25">
      <c r="Q279" s="68"/>
      <c r="R279" s="68"/>
    </row>
    <row r="280" spans="5:18" x14ac:dyDescent="0.25">
      <c r="G280" s="154"/>
      <c r="Q280" s="68"/>
      <c r="R280" s="68"/>
    </row>
    <row r="281" spans="5:18" x14ac:dyDescent="0.25">
      <c r="G281" s="154"/>
      <c r="Q281" s="68"/>
      <c r="R281" s="68"/>
    </row>
    <row r="282" spans="5:18" x14ac:dyDescent="0.25">
      <c r="G282" s="154"/>
      <c r="Q282" s="68"/>
      <c r="R282" s="68"/>
    </row>
    <row r="283" spans="5:18" x14ac:dyDescent="0.25">
      <c r="G283" s="154"/>
      <c r="Q283" s="68"/>
      <c r="R283" s="68"/>
    </row>
    <row r="284" spans="5:18" x14ac:dyDescent="0.25">
      <c r="G284" s="154"/>
      <c r="Q284" s="68"/>
      <c r="R284" s="68"/>
    </row>
    <row r="285" spans="5:18" x14ac:dyDescent="0.25">
      <c r="G285" s="154"/>
      <c r="Q285" s="68"/>
      <c r="R285" s="68"/>
    </row>
    <row r="286" spans="5:18" x14ac:dyDescent="0.25">
      <c r="G286" s="154"/>
      <c r="Q286" s="68"/>
      <c r="R286" s="68"/>
    </row>
    <row r="287" spans="5:18" x14ac:dyDescent="0.25">
      <c r="E287" s="108"/>
      <c r="F287" s="108"/>
      <c r="G287" s="101"/>
      <c r="H287" s="108"/>
      <c r="Q287" s="68"/>
      <c r="R287" s="68"/>
    </row>
    <row r="288" spans="5:18" x14ac:dyDescent="0.25">
      <c r="E288" s="108"/>
      <c r="F288" s="108"/>
      <c r="G288" s="101"/>
      <c r="H288" s="108"/>
      <c r="Q288" s="68"/>
      <c r="R288" s="68"/>
    </row>
    <row r="289" spans="5:18" x14ac:dyDescent="0.25">
      <c r="G289" s="154"/>
      <c r="Q289" s="68"/>
      <c r="R289" s="68"/>
    </row>
    <row r="290" spans="5:18" x14ac:dyDescent="0.25">
      <c r="G290" s="154"/>
      <c r="Q290" s="68"/>
      <c r="R290" s="68"/>
    </row>
    <row r="291" spans="5:18" x14ac:dyDescent="0.25">
      <c r="E291" s="108"/>
      <c r="F291" s="108"/>
      <c r="G291" s="122"/>
      <c r="H291" s="108"/>
      <c r="Q291" s="68"/>
      <c r="R291" s="68"/>
    </row>
    <row r="292" spans="5:18" x14ac:dyDescent="0.25">
      <c r="G292" s="154"/>
      <c r="Q292" s="68"/>
      <c r="R292" s="68"/>
    </row>
    <row r="293" spans="5:18" x14ac:dyDescent="0.25">
      <c r="E293" s="108"/>
      <c r="F293" s="108"/>
      <c r="G293" s="122"/>
      <c r="H293" s="108"/>
      <c r="Q293" s="68"/>
      <c r="R293" s="68"/>
    </row>
    <row r="294" spans="5:18" x14ac:dyDescent="0.25">
      <c r="G294" s="154"/>
      <c r="Q294" s="68"/>
      <c r="R294" s="68"/>
    </row>
    <row r="295" spans="5:18" x14ac:dyDescent="0.25">
      <c r="E295" s="156"/>
      <c r="F295" s="156"/>
      <c r="G295" s="154"/>
      <c r="H295" s="156"/>
      <c r="Q295" s="68"/>
      <c r="R295" s="68"/>
    </row>
    <row r="296" spans="5:18" x14ac:dyDescent="0.25">
      <c r="E296" s="156"/>
      <c r="F296" s="156"/>
      <c r="G296" s="154"/>
      <c r="H296" s="156"/>
      <c r="Q296" s="68"/>
      <c r="R296" s="68"/>
    </row>
    <row r="297" spans="5:18" x14ac:dyDescent="0.25">
      <c r="G297" s="154"/>
      <c r="Q297" s="68"/>
      <c r="R297" s="68"/>
    </row>
    <row r="298" spans="5:18" x14ac:dyDescent="0.25">
      <c r="G298" s="154"/>
      <c r="Q298" s="68"/>
      <c r="R298" s="68"/>
    </row>
    <row r="299" spans="5:18" x14ac:dyDescent="0.25">
      <c r="G299" s="154"/>
      <c r="Q299" s="68"/>
      <c r="R299" s="68"/>
    </row>
    <row r="300" spans="5:18" x14ac:dyDescent="0.25">
      <c r="G300" s="154"/>
      <c r="Q300" s="68"/>
      <c r="R300" s="68"/>
    </row>
    <row r="301" spans="5:18" x14ac:dyDescent="0.25">
      <c r="G301" s="154"/>
      <c r="Q301" s="17"/>
      <c r="R301" s="17"/>
    </row>
    <row r="302" spans="5:18" x14ac:dyDescent="0.25">
      <c r="G302" s="154"/>
    </row>
    <row r="303" spans="5:18" x14ac:dyDescent="0.25">
      <c r="G303" s="154"/>
    </row>
    <row r="304" spans="5:18" x14ac:dyDescent="0.25">
      <c r="G304" s="154"/>
    </row>
    <row r="305" spans="5:8" x14ac:dyDescent="0.25">
      <c r="G305" s="154"/>
    </row>
    <row r="306" spans="5:8" x14ac:dyDescent="0.25">
      <c r="G306" s="154"/>
    </row>
    <row r="307" spans="5:8" x14ac:dyDescent="0.25">
      <c r="G307" s="154"/>
    </row>
    <row r="308" spans="5:8" x14ac:dyDescent="0.25">
      <c r="G308" s="154"/>
    </row>
    <row r="309" spans="5:8" x14ac:dyDescent="0.25">
      <c r="G309" s="154"/>
    </row>
    <row r="310" spans="5:8" x14ac:dyDescent="0.25">
      <c r="G310" s="154"/>
    </row>
    <row r="311" spans="5:8" x14ac:dyDescent="0.25">
      <c r="E311" s="108"/>
      <c r="F311" s="108"/>
      <c r="G311" s="101"/>
      <c r="H311" s="108"/>
    </row>
    <row r="312" spans="5:8" x14ac:dyDescent="0.25">
      <c r="G312" s="154"/>
    </row>
    <row r="313" spans="5:8" x14ac:dyDescent="0.25">
      <c r="G313" s="154"/>
    </row>
    <row r="314" spans="5:8" x14ac:dyDescent="0.25">
      <c r="G314" s="154"/>
    </row>
    <row r="315" spans="5:8" x14ac:dyDescent="0.25">
      <c r="G315" s="154"/>
    </row>
    <row r="316" spans="5:8" x14ac:dyDescent="0.25">
      <c r="G316" s="154"/>
    </row>
    <row r="317" spans="5:8" x14ac:dyDescent="0.25">
      <c r="G317" s="154"/>
    </row>
    <row r="318" spans="5:8" x14ac:dyDescent="0.25">
      <c r="G318" s="154"/>
    </row>
    <row r="319" spans="5:8" x14ac:dyDescent="0.25">
      <c r="G319" s="154"/>
    </row>
    <row r="320" spans="5:8" x14ac:dyDescent="0.25">
      <c r="G320" s="154"/>
    </row>
    <row r="322" spans="7:7" x14ac:dyDescent="0.25">
      <c r="G322" s="154"/>
    </row>
  </sheetData>
  <sortState xmlns:xlrd2="http://schemas.microsoft.com/office/spreadsheetml/2017/richdata2" ref="A37:AL45">
    <sortCondition ref="A37:A45"/>
  </sortState>
  <mergeCells count="8">
    <mergeCell ref="AC3:AI3"/>
    <mergeCell ref="A5:C5"/>
    <mergeCell ref="A7:C7"/>
    <mergeCell ref="A36:C36"/>
    <mergeCell ref="A1:C2"/>
    <mergeCell ref="T3:Y3"/>
    <mergeCell ref="M3:N3"/>
    <mergeCell ref="E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425"/>
  <sheetViews>
    <sheetView zoomScaleNormal="100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L208" sqref="L208"/>
    </sheetView>
  </sheetViews>
  <sheetFormatPr defaultRowHeight="15" x14ac:dyDescent="0.25"/>
  <cols>
    <col min="1" max="1" width="19.7109375" style="12" bestFit="1" customWidth="1"/>
    <col min="2" max="2" width="22.5703125" style="4" bestFit="1" customWidth="1"/>
    <col min="3" max="3" width="8.140625" style="4" bestFit="1" customWidth="1"/>
    <col min="4" max="4" width="12.140625" style="15" customWidth="1"/>
    <col min="5" max="5" width="12.28515625" style="233" customWidth="1"/>
    <col min="6" max="6" width="12.28515625" style="219" customWidth="1"/>
    <col min="7" max="7" width="11" style="219" customWidth="1"/>
    <col min="8" max="8" width="2.85546875" style="219" customWidth="1"/>
    <col min="9" max="10" width="12.28515625" style="161" customWidth="1"/>
    <col min="11" max="15" width="11.140625" style="161" customWidth="1"/>
    <col min="16" max="16" width="11.140625" style="26" customWidth="1"/>
    <col min="17" max="18" width="9.140625" style="3"/>
    <col min="19" max="19" width="3.7109375" style="26" customWidth="1"/>
    <col min="20" max="25" width="11.140625" style="26" customWidth="1"/>
    <col min="26" max="27" width="9.140625" style="4"/>
    <col min="28" max="28" width="3.7109375" style="26" customWidth="1"/>
    <col min="29" max="29" width="8.85546875" style="26" customWidth="1"/>
    <col min="30" max="32" width="10.7109375" style="26" customWidth="1"/>
    <col min="33" max="33" width="12.5703125" style="26" customWidth="1"/>
    <col min="34" max="34" width="10.7109375" style="26" customWidth="1"/>
    <col min="35" max="35" width="8.85546875" style="26" customWidth="1"/>
    <col min="36" max="16384" width="9.140625" style="4"/>
  </cols>
  <sheetData>
    <row r="1" spans="1:38" ht="15" customHeight="1" x14ac:dyDescent="0.5">
      <c r="A1" s="282" t="s">
        <v>12</v>
      </c>
      <c r="B1" s="283"/>
      <c r="C1" s="283"/>
      <c r="D1" s="40"/>
      <c r="E1" s="102"/>
      <c r="F1" s="102"/>
      <c r="G1" s="102"/>
      <c r="H1" s="102"/>
      <c r="I1" s="160"/>
      <c r="J1" s="160"/>
      <c r="K1" s="160"/>
      <c r="L1" s="160"/>
      <c r="M1" s="160"/>
      <c r="N1" s="160"/>
      <c r="O1" s="160"/>
      <c r="P1" s="110"/>
      <c r="S1" s="110"/>
      <c r="T1" s="110"/>
      <c r="U1" s="110"/>
      <c r="V1" s="110"/>
      <c r="W1" s="110"/>
      <c r="X1" s="110"/>
      <c r="Y1" s="110"/>
      <c r="AB1" s="110"/>
      <c r="AC1" s="40"/>
      <c r="AD1" s="40"/>
      <c r="AE1" s="40"/>
      <c r="AF1" s="40"/>
      <c r="AG1" s="40"/>
      <c r="AH1" s="40"/>
      <c r="AI1" s="40"/>
    </row>
    <row r="2" spans="1:38" ht="15" customHeight="1" x14ac:dyDescent="0.5">
      <c r="A2" s="284"/>
      <c r="B2" s="285"/>
      <c r="C2" s="285"/>
      <c r="D2" s="40"/>
      <c r="E2" s="103"/>
      <c r="F2" s="103"/>
      <c r="G2" s="103"/>
      <c r="H2" s="103"/>
      <c r="I2" s="160"/>
      <c r="J2" s="160"/>
      <c r="K2" s="160"/>
      <c r="L2" s="160"/>
      <c r="M2" s="160"/>
      <c r="N2" s="160"/>
      <c r="O2" s="160"/>
      <c r="P2" s="110"/>
      <c r="S2" s="110"/>
      <c r="T2" s="110"/>
      <c r="U2" s="110"/>
      <c r="V2" s="110"/>
      <c r="W2" s="110"/>
      <c r="X2" s="110"/>
      <c r="Y2" s="110"/>
      <c r="AB2" s="110"/>
      <c r="AC2" s="40"/>
      <c r="AD2" s="40"/>
      <c r="AE2" s="40"/>
      <c r="AF2" s="40"/>
      <c r="AG2" s="40"/>
      <c r="AH2" s="40"/>
      <c r="AI2" s="40"/>
    </row>
    <row r="3" spans="1:38" s="5" customFormat="1" x14ac:dyDescent="0.25">
      <c r="A3" s="10"/>
      <c r="D3" s="14"/>
      <c r="E3" s="36"/>
      <c r="F3" s="36">
        <v>2025</v>
      </c>
      <c r="G3" s="219"/>
      <c r="H3" s="36"/>
      <c r="I3" s="209"/>
      <c r="J3" s="200"/>
      <c r="K3" s="33"/>
      <c r="L3" s="33"/>
      <c r="M3" s="286">
        <v>2024</v>
      </c>
      <c r="N3" s="287"/>
      <c r="O3" s="230"/>
      <c r="P3" s="33"/>
      <c r="Q3" s="6"/>
      <c r="R3" s="6"/>
      <c r="S3" s="33"/>
      <c r="T3" s="33"/>
      <c r="U3" s="33"/>
      <c r="V3" s="33"/>
      <c r="W3" s="33">
        <v>2023</v>
      </c>
      <c r="X3" s="33"/>
      <c r="Y3" s="33"/>
      <c r="AB3" s="33"/>
      <c r="AC3" s="256">
        <v>2022</v>
      </c>
      <c r="AD3" s="258"/>
      <c r="AE3" s="75"/>
      <c r="AF3" s="75"/>
      <c r="AG3" s="75"/>
      <c r="AH3" s="75"/>
      <c r="AI3" s="33"/>
    </row>
    <row r="4" spans="1:38" s="5" customFormat="1" ht="107.25" customHeight="1" x14ac:dyDescent="0.25">
      <c r="A4" s="5" t="s">
        <v>1</v>
      </c>
      <c r="B4" s="5" t="s">
        <v>2</v>
      </c>
      <c r="C4" s="5" t="s">
        <v>3</v>
      </c>
      <c r="D4" s="49" t="s">
        <v>1091</v>
      </c>
      <c r="E4" s="239" t="s">
        <v>1090</v>
      </c>
      <c r="F4" s="231" t="s">
        <v>4</v>
      </c>
      <c r="G4" s="119" t="s">
        <v>5</v>
      </c>
      <c r="H4" s="231"/>
      <c r="I4" s="210" t="s">
        <v>463</v>
      </c>
      <c r="J4" s="201" t="s">
        <v>392</v>
      </c>
      <c r="K4" s="192" t="s">
        <v>228</v>
      </c>
      <c r="L4" s="175" t="s">
        <v>879</v>
      </c>
      <c r="M4" s="159" t="s">
        <v>292</v>
      </c>
      <c r="N4" s="159" t="s">
        <v>4</v>
      </c>
      <c r="O4" s="226" t="s">
        <v>546</v>
      </c>
      <c r="P4" s="95" t="s">
        <v>5</v>
      </c>
      <c r="Q4" s="96" t="s">
        <v>1073</v>
      </c>
      <c r="R4" s="97" t="s">
        <v>544</v>
      </c>
      <c r="S4" s="142"/>
      <c r="T4" s="139" t="s">
        <v>392</v>
      </c>
      <c r="U4" s="135" t="s">
        <v>228</v>
      </c>
      <c r="V4" s="116" t="s">
        <v>292</v>
      </c>
      <c r="W4" s="116" t="s">
        <v>4</v>
      </c>
      <c r="X4" s="105" t="s">
        <v>546</v>
      </c>
      <c r="Y4" s="95" t="s">
        <v>5</v>
      </c>
      <c r="Z4" s="96" t="s">
        <v>543</v>
      </c>
      <c r="AA4" s="97" t="s">
        <v>544</v>
      </c>
      <c r="AB4" s="42"/>
      <c r="AC4" s="44" t="s">
        <v>4</v>
      </c>
      <c r="AD4" s="59" t="s">
        <v>62</v>
      </c>
      <c r="AE4" s="73" t="s">
        <v>228</v>
      </c>
      <c r="AF4" s="79" t="s">
        <v>292</v>
      </c>
      <c r="AG4" s="111" t="s">
        <v>392</v>
      </c>
      <c r="AH4" s="93" t="s">
        <v>463</v>
      </c>
      <c r="AI4" s="33" t="s">
        <v>34</v>
      </c>
      <c r="AJ4" s="95" t="s">
        <v>5</v>
      </c>
      <c r="AK4" s="96" t="s">
        <v>543</v>
      </c>
      <c r="AL4" s="97" t="s">
        <v>544</v>
      </c>
    </row>
    <row r="5" spans="1:38" x14ac:dyDescent="0.25">
      <c r="A5" s="277" t="s">
        <v>13</v>
      </c>
      <c r="B5" s="278"/>
      <c r="C5" s="279"/>
      <c r="D5" s="24"/>
      <c r="G5" s="120"/>
      <c r="P5" s="125"/>
      <c r="Q5" s="96"/>
      <c r="R5" s="97"/>
      <c r="S5" s="146"/>
      <c r="T5" s="138"/>
      <c r="U5" s="134"/>
      <c r="V5" s="115"/>
      <c r="W5" s="113"/>
      <c r="X5" s="92"/>
      <c r="Y5" s="125"/>
      <c r="Z5" s="96"/>
      <c r="AA5" s="97"/>
      <c r="AB5" s="92"/>
      <c r="AC5" s="35"/>
      <c r="AD5" s="38"/>
      <c r="AE5" s="58"/>
      <c r="AF5" s="70"/>
      <c r="AG5" s="92"/>
      <c r="AH5" s="89"/>
      <c r="AI5" s="35"/>
      <c r="AJ5" s="95"/>
      <c r="AK5" s="96"/>
      <c r="AL5" s="97"/>
    </row>
    <row r="6" spans="1:38" s="52" customFormat="1" x14ac:dyDescent="0.25">
      <c r="A6" s="51" t="s">
        <v>377</v>
      </c>
      <c r="B6" s="65" t="s">
        <v>36</v>
      </c>
      <c r="C6" s="52">
        <v>2004</v>
      </c>
      <c r="D6" s="1">
        <f>R6+E6+F6</f>
        <v>841</v>
      </c>
      <c r="E6" s="233"/>
      <c r="F6" s="219"/>
      <c r="G6" s="120"/>
      <c r="H6" s="219"/>
      <c r="I6" s="205"/>
      <c r="J6" s="196"/>
      <c r="K6" s="186"/>
      <c r="L6" s="170">
        <f>9+6</f>
        <v>15</v>
      </c>
      <c r="M6" s="50">
        <f>48+33+12+12</f>
        <v>105</v>
      </c>
      <c r="N6" s="50"/>
      <c r="O6" s="219">
        <f>AA6</f>
        <v>721</v>
      </c>
      <c r="P6" s="120"/>
      <c r="Q6" s="96">
        <f>I6+J6+K6+L6+M6+N6+O6</f>
        <v>841</v>
      </c>
      <c r="R6" s="97">
        <f>IF(C6=2008, Q6/3,Q6)+P6</f>
        <v>841</v>
      </c>
      <c r="S6" s="22"/>
      <c r="T6" s="50"/>
      <c r="U6" s="50">
        <f>15</f>
        <v>15</v>
      </c>
      <c r="V6" s="50">
        <f>18+51</f>
        <v>69</v>
      </c>
      <c r="W6" s="50"/>
      <c r="X6" s="50">
        <f t="shared" ref="X6:X17" si="0">AL6</f>
        <v>637</v>
      </c>
      <c r="Y6" s="120"/>
      <c r="Z6" s="96">
        <f t="shared" ref="Z6:Z19" si="1">SUM(T6:X6)</f>
        <v>721</v>
      </c>
      <c r="AA6" s="97">
        <f>IF(C6=2007, Z6/3,Z6)+Y6</f>
        <v>721</v>
      </c>
      <c r="AB6" s="22"/>
      <c r="AC6" s="26"/>
      <c r="AD6" s="26"/>
      <c r="AE6" s="26"/>
      <c r="AF6" s="26">
        <f>18+6</f>
        <v>24</v>
      </c>
      <c r="AG6" s="26"/>
      <c r="AH6" s="26">
        <f>15+18</f>
        <v>33</v>
      </c>
      <c r="AI6" s="26">
        <f>580</f>
        <v>580</v>
      </c>
      <c r="AJ6" s="95"/>
      <c r="AK6" s="96">
        <f t="shared" ref="AK6:AK17" si="2">SUM(AC6:AI6)</f>
        <v>637</v>
      </c>
      <c r="AL6" s="97">
        <f>IF(C6=2006, AK6/3,AK6)+AJ6</f>
        <v>637</v>
      </c>
    </row>
    <row r="7" spans="1:38" s="3" customFormat="1" x14ac:dyDescent="0.25">
      <c r="A7" s="11" t="s">
        <v>362</v>
      </c>
      <c r="B7" s="19" t="s">
        <v>36</v>
      </c>
      <c r="C7" s="3">
        <v>2006</v>
      </c>
      <c r="D7" s="1">
        <f t="shared" ref="D7:D70" si="3">R7+E7+F7</f>
        <v>529</v>
      </c>
      <c r="E7" s="233"/>
      <c r="F7" s="219"/>
      <c r="G7" s="154"/>
      <c r="H7" s="219"/>
      <c r="I7" s="205"/>
      <c r="J7" s="196"/>
      <c r="K7" s="186"/>
      <c r="L7" s="170">
        <f>6+6+6</f>
        <v>18</v>
      </c>
      <c r="M7" s="50">
        <f>39+18+12+12</f>
        <v>81</v>
      </c>
      <c r="N7" s="50"/>
      <c r="O7" s="219">
        <f t="shared" ref="O7:O21" si="4">AA7</f>
        <v>430</v>
      </c>
      <c r="P7" s="120"/>
      <c r="Q7" s="96">
        <f t="shared" ref="Q7:Q70" si="5">I7+J7+K7+L7+M7+N7+O7</f>
        <v>529</v>
      </c>
      <c r="R7" s="97">
        <f t="shared" ref="R7:R70" si="6">IF(C7=2008, Q7/3,Q7)+P7</f>
        <v>529</v>
      </c>
      <c r="S7" s="22"/>
      <c r="T7" s="50">
        <f>12</f>
        <v>12</v>
      </c>
      <c r="U7" s="50"/>
      <c r="V7" s="50">
        <f>33</f>
        <v>33</v>
      </c>
      <c r="W7" s="50">
        <f>27+6</f>
        <v>33</v>
      </c>
      <c r="X7" s="50">
        <f t="shared" si="0"/>
        <v>352</v>
      </c>
      <c r="Y7" s="120"/>
      <c r="Z7" s="96">
        <f t="shared" si="1"/>
        <v>430</v>
      </c>
      <c r="AA7" s="97">
        <f>IF(C7=2007, Z7/3,Z7)+Y7</f>
        <v>430</v>
      </c>
      <c r="AB7" s="22"/>
      <c r="AC7" s="13"/>
      <c r="AD7" s="13"/>
      <c r="AE7" s="13"/>
      <c r="AF7" s="13">
        <f>57</f>
        <v>57</v>
      </c>
      <c r="AG7" s="13">
        <f>9+3</f>
        <v>12</v>
      </c>
      <c r="AH7" s="13">
        <f>27+12</f>
        <v>39</v>
      </c>
      <c r="AI7" s="13">
        <v>948</v>
      </c>
      <c r="AJ7" s="95"/>
      <c r="AK7" s="96">
        <f t="shared" si="2"/>
        <v>1056</v>
      </c>
      <c r="AL7" s="97">
        <f>IF(C7=2006, AK7/3,AK7)+AJ7</f>
        <v>352</v>
      </c>
    </row>
    <row r="8" spans="1:38" s="3" customFormat="1" x14ac:dyDescent="0.25">
      <c r="A8" s="11" t="s">
        <v>364</v>
      </c>
      <c r="B8" s="19" t="s">
        <v>36</v>
      </c>
      <c r="C8" s="3">
        <v>2007</v>
      </c>
      <c r="D8" s="1">
        <f t="shared" si="3"/>
        <v>298</v>
      </c>
      <c r="E8" s="233"/>
      <c r="F8" s="219"/>
      <c r="G8" s="120"/>
      <c r="H8" s="219"/>
      <c r="I8" s="205"/>
      <c r="J8" s="196"/>
      <c r="K8" s="186"/>
      <c r="L8" s="170">
        <f>3+6</f>
        <v>9</v>
      </c>
      <c r="M8" s="50">
        <f>0+12</f>
        <v>12</v>
      </c>
      <c r="N8" s="50"/>
      <c r="O8" s="219">
        <f t="shared" si="4"/>
        <v>277</v>
      </c>
      <c r="P8" s="120"/>
      <c r="Q8" s="96">
        <f t="shared" si="5"/>
        <v>298</v>
      </c>
      <c r="R8" s="97">
        <f t="shared" si="6"/>
        <v>298</v>
      </c>
      <c r="S8" s="22"/>
      <c r="T8" s="50"/>
      <c r="U8" s="50">
        <f>15</f>
        <v>15</v>
      </c>
      <c r="V8" s="50">
        <f>255</f>
        <v>255</v>
      </c>
      <c r="W8" s="50">
        <f>15</f>
        <v>15</v>
      </c>
      <c r="X8" s="50">
        <f t="shared" si="0"/>
        <v>528</v>
      </c>
      <c r="Y8" s="120">
        <f>6</f>
        <v>6</v>
      </c>
      <c r="Z8" s="96">
        <f t="shared" si="1"/>
        <v>813</v>
      </c>
      <c r="AA8" s="97">
        <f>IF(C8=2007, Z8/3,Z8)+Y8</f>
        <v>277</v>
      </c>
      <c r="AB8" s="22"/>
      <c r="AC8" s="13"/>
      <c r="AD8" s="13"/>
      <c r="AE8" s="13"/>
      <c r="AF8" s="13">
        <f>51</f>
        <v>51</v>
      </c>
      <c r="AG8" s="13">
        <f>12+3</f>
        <v>15</v>
      </c>
      <c r="AH8" s="13">
        <f>21+12</f>
        <v>33</v>
      </c>
      <c r="AI8" s="13">
        <v>429</v>
      </c>
      <c r="AJ8" s="95"/>
      <c r="AK8" s="96">
        <f t="shared" si="2"/>
        <v>528</v>
      </c>
      <c r="AL8" s="97">
        <f>IF(C8=2010, AK8/3,AK8)+AJ8</f>
        <v>528</v>
      </c>
    </row>
    <row r="9" spans="1:38" s="3" customFormat="1" x14ac:dyDescent="0.25">
      <c r="A9" s="11" t="s">
        <v>285</v>
      </c>
      <c r="B9" s="19" t="s">
        <v>0</v>
      </c>
      <c r="C9" s="3">
        <v>2006</v>
      </c>
      <c r="D9" s="1">
        <f t="shared" si="3"/>
        <v>392</v>
      </c>
      <c r="E9" s="233"/>
      <c r="F9" s="219"/>
      <c r="G9" s="154"/>
      <c r="H9" s="219"/>
      <c r="I9" s="205">
        <f>6</f>
        <v>6</v>
      </c>
      <c r="J9" s="196"/>
      <c r="K9" s="186"/>
      <c r="L9" s="170">
        <f>12+3</f>
        <v>15</v>
      </c>
      <c r="M9" s="50">
        <f>30+6</f>
        <v>36</v>
      </c>
      <c r="N9" s="50">
        <f>24+3</f>
        <v>27</v>
      </c>
      <c r="O9" s="219">
        <f t="shared" si="4"/>
        <v>308</v>
      </c>
      <c r="P9" s="120"/>
      <c r="Q9" s="96">
        <f t="shared" si="5"/>
        <v>392</v>
      </c>
      <c r="R9" s="97">
        <f t="shared" si="6"/>
        <v>392</v>
      </c>
      <c r="S9" s="22"/>
      <c r="T9" s="50">
        <f>9</f>
        <v>9</v>
      </c>
      <c r="U9" s="50">
        <f>9</f>
        <v>9</v>
      </c>
      <c r="V9" s="50">
        <f>39</f>
        <v>39</v>
      </c>
      <c r="W9" s="50"/>
      <c r="X9" s="50">
        <f t="shared" si="0"/>
        <v>251</v>
      </c>
      <c r="Y9" s="120"/>
      <c r="Z9" s="96">
        <f t="shared" si="1"/>
        <v>308</v>
      </c>
      <c r="AA9" s="97">
        <f>IF(C9=2007, Z9/3,Z9)+Y9</f>
        <v>308</v>
      </c>
      <c r="AB9" s="22"/>
      <c r="AC9" s="13"/>
      <c r="AD9" s="13"/>
      <c r="AE9" s="13">
        <f>9</f>
        <v>9</v>
      </c>
      <c r="AF9" s="13">
        <f>30+6</f>
        <v>36</v>
      </c>
      <c r="AG9" s="13">
        <f>3+6+6</f>
        <v>15</v>
      </c>
      <c r="AH9" s="13">
        <f>18+9+3</f>
        <v>30</v>
      </c>
      <c r="AI9" s="13">
        <f>663</f>
        <v>663</v>
      </c>
      <c r="AJ9" s="95"/>
      <c r="AK9" s="96">
        <f t="shared" si="2"/>
        <v>753</v>
      </c>
      <c r="AL9" s="97">
        <f>IF(C9=2006, AK9/3,AK9)+AJ9</f>
        <v>251</v>
      </c>
    </row>
    <row r="10" spans="1:38" s="52" customFormat="1" x14ac:dyDescent="0.25">
      <c r="A10" s="51" t="s">
        <v>9</v>
      </c>
      <c r="B10" s="65" t="s">
        <v>63</v>
      </c>
      <c r="C10" s="52">
        <v>2005</v>
      </c>
      <c r="D10" s="1">
        <f t="shared" si="3"/>
        <v>450.14814814814815</v>
      </c>
      <c r="E10" s="156"/>
      <c r="F10" s="156"/>
      <c r="G10" s="154"/>
      <c r="H10" s="156"/>
      <c r="I10" s="205">
        <f>3</f>
        <v>3</v>
      </c>
      <c r="J10" s="196"/>
      <c r="K10" s="186"/>
      <c r="L10" s="170">
        <f>9</f>
        <v>9</v>
      </c>
      <c r="M10" s="50">
        <f>45+9</f>
        <v>54</v>
      </c>
      <c r="N10" s="50"/>
      <c r="O10" s="219">
        <f t="shared" si="4"/>
        <v>384.14814814814815</v>
      </c>
      <c r="P10" s="120"/>
      <c r="Q10" s="96">
        <f t="shared" si="5"/>
        <v>450.14814814814815</v>
      </c>
      <c r="R10" s="97">
        <f t="shared" si="6"/>
        <v>450.14814814814815</v>
      </c>
      <c r="S10" s="22"/>
      <c r="T10" s="50"/>
      <c r="U10" s="50">
        <f>12</f>
        <v>12</v>
      </c>
      <c r="V10" s="50">
        <f>45</f>
        <v>45</v>
      </c>
      <c r="W10" s="50">
        <f>3+3</f>
        <v>6</v>
      </c>
      <c r="X10" s="50">
        <f t="shared" si="0"/>
        <v>321.14814814814815</v>
      </c>
      <c r="Y10" s="120"/>
      <c r="Z10" s="96">
        <f t="shared" si="1"/>
        <v>384.14814814814815</v>
      </c>
      <c r="AA10" s="97">
        <f>IF(C10=2007, Z10/3,Z10)+Y10</f>
        <v>384.14814814814815</v>
      </c>
      <c r="AB10" s="22"/>
      <c r="AC10" s="26">
        <f>0</f>
        <v>0</v>
      </c>
      <c r="AD10" s="26">
        <v>30</v>
      </c>
      <c r="AE10" s="26">
        <f>3</f>
        <v>3</v>
      </c>
      <c r="AF10" s="26">
        <f>12</f>
        <v>12</v>
      </c>
      <c r="AG10" s="26"/>
      <c r="AH10" s="26">
        <f>6+3+6</f>
        <v>15</v>
      </c>
      <c r="AI10" s="26">
        <v>261.14814814814815</v>
      </c>
      <c r="AJ10" s="95"/>
      <c r="AK10" s="96">
        <f t="shared" si="2"/>
        <v>321.14814814814815</v>
      </c>
      <c r="AL10" s="97">
        <f>IF(C10=2006, AK10/3,AK10)+AJ10</f>
        <v>321.14814814814815</v>
      </c>
    </row>
    <row r="11" spans="1:38" s="3" customFormat="1" x14ac:dyDescent="0.25">
      <c r="A11" s="11" t="s">
        <v>357</v>
      </c>
      <c r="B11" s="19" t="s">
        <v>0</v>
      </c>
      <c r="C11" s="3">
        <v>2008</v>
      </c>
      <c r="D11" s="1">
        <f t="shared" si="3"/>
        <v>246</v>
      </c>
      <c r="E11" s="233"/>
      <c r="F11" s="219"/>
      <c r="G11" s="120"/>
      <c r="H11" s="219"/>
      <c r="I11" s="205"/>
      <c r="J11" s="196"/>
      <c r="K11" s="186"/>
      <c r="L11" s="170"/>
      <c r="M11" s="50"/>
      <c r="N11" s="50"/>
      <c r="O11" s="219">
        <f>AA11</f>
        <v>738</v>
      </c>
      <c r="P11" s="120"/>
      <c r="Q11" s="96">
        <f t="shared" si="5"/>
        <v>738</v>
      </c>
      <c r="R11" s="97">
        <f t="shared" si="6"/>
        <v>246</v>
      </c>
      <c r="S11" s="22"/>
      <c r="T11" s="50"/>
      <c r="U11" s="50">
        <f>12</f>
        <v>12</v>
      </c>
      <c r="V11" s="50">
        <f>240</f>
        <v>240</v>
      </c>
      <c r="W11" s="50"/>
      <c r="X11" s="50">
        <f>AL11</f>
        <v>486</v>
      </c>
      <c r="Y11" s="120"/>
      <c r="Z11" s="96">
        <f>SUM(T11:X11)</f>
        <v>738</v>
      </c>
      <c r="AA11" s="97">
        <f>IF(C11=2011, Z11/3,Z11)+Y11</f>
        <v>738</v>
      </c>
      <c r="AB11" s="22"/>
      <c r="AC11" s="13"/>
      <c r="AD11" s="13"/>
      <c r="AE11" s="13"/>
      <c r="AF11" s="13">
        <f>39+6</f>
        <v>45</v>
      </c>
      <c r="AG11" s="13">
        <f>9+6+6</f>
        <v>21</v>
      </c>
      <c r="AH11" s="13">
        <f>66+9+3</f>
        <v>78</v>
      </c>
      <c r="AI11" s="13">
        <v>342</v>
      </c>
      <c r="AJ11" s="95"/>
      <c r="AK11" s="96">
        <f>SUM(AC11:AI11)</f>
        <v>486</v>
      </c>
      <c r="AL11" s="97">
        <f>IF(C11=2010, AK11/3,AK11)+AJ11</f>
        <v>486</v>
      </c>
    </row>
    <row r="12" spans="1:38" s="3" customFormat="1" x14ac:dyDescent="0.25">
      <c r="A12" s="60" t="s">
        <v>164</v>
      </c>
      <c r="B12" s="85" t="s">
        <v>64</v>
      </c>
      <c r="C12" s="62">
        <v>2007</v>
      </c>
      <c r="D12" s="1">
        <f t="shared" si="3"/>
        <v>239</v>
      </c>
      <c r="E12" s="233"/>
      <c r="F12" s="219"/>
      <c r="G12" s="154"/>
      <c r="H12" s="219"/>
      <c r="I12" s="205"/>
      <c r="J12" s="196"/>
      <c r="K12" s="186"/>
      <c r="L12" s="170"/>
      <c r="M12" s="50">
        <f>3</f>
        <v>3</v>
      </c>
      <c r="N12" s="50">
        <f>24</f>
        <v>24</v>
      </c>
      <c r="O12" s="219">
        <f t="shared" si="4"/>
        <v>206</v>
      </c>
      <c r="P12" s="120">
        <f>6</f>
        <v>6</v>
      </c>
      <c r="Q12" s="96">
        <f t="shared" si="5"/>
        <v>233</v>
      </c>
      <c r="R12" s="97">
        <f t="shared" si="6"/>
        <v>239</v>
      </c>
      <c r="S12" s="22"/>
      <c r="T12" s="50"/>
      <c r="U12" s="50">
        <f>12</f>
        <v>12</v>
      </c>
      <c r="V12" s="50">
        <f>162</f>
        <v>162</v>
      </c>
      <c r="W12" s="50">
        <f>6+6</f>
        <v>12</v>
      </c>
      <c r="X12" s="50">
        <f t="shared" si="0"/>
        <v>20</v>
      </c>
      <c r="Y12" s="120"/>
      <c r="Z12" s="96">
        <f t="shared" si="1"/>
        <v>206</v>
      </c>
      <c r="AA12" s="97">
        <f>IF(C12=2011, Z12/3,Z12)+Y12</f>
        <v>206</v>
      </c>
      <c r="AB12" s="22"/>
      <c r="AC12" s="13"/>
      <c r="AD12" s="13">
        <v>20</v>
      </c>
      <c r="AE12" s="13"/>
      <c r="AF12" s="13"/>
      <c r="AG12" s="13"/>
      <c r="AH12" s="13"/>
      <c r="AI12" s="13"/>
      <c r="AJ12" s="95"/>
      <c r="AK12" s="96">
        <f t="shared" si="2"/>
        <v>20</v>
      </c>
      <c r="AL12" s="97">
        <f>IF(C12=2010, AK12/3,AK12)+AJ12</f>
        <v>20</v>
      </c>
    </row>
    <row r="13" spans="1:38" x14ac:dyDescent="0.25">
      <c r="A13" s="60" t="s">
        <v>222</v>
      </c>
      <c r="B13" s="65" t="s">
        <v>63</v>
      </c>
      <c r="C13" s="62">
        <v>2005</v>
      </c>
      <c r="D13" s="1">
        <f t="shared" si="3"/>
        <v>253</v>
      </c>
      <c r="E13" s="158"/>
      <c r="F13" s="158"/>
      <c r="G13" s="120"/>
      <c r="H13" s="158"/>
      <c r="I13" s="205"/>
      <c r="J13" s="196"/>
      <c r="K13" s="186"/>
      <c r="L13" s="170"/>
      <c r="M13" s="50"/>
      <c r="N13" s="50"/>
      <c r="O13" s="219">
        <f t="shared" si="4"/>
        <v>253</v>
      </c>
      <c r="P13" s="120"/>
      <c r="Q13" s="96">
        <f t="shared" si="5"/>
        <v>253</v>
      </c>
      <c r="R13" s="97">
        <f t="shared" si="6"/>
        <v>253</v>
      </c>
      <c r="S13" s="22"/>
      <c r="T13" s="50"/>
      <c r="U13" s="50"/>
      <c r="V13" s="50"/>
      <c r="W13" s="50">
        <f>9+3+3+3</f>
        <v>18</v>
      </c>
      <c r="X13" s="50">
        <f t="shared" si="0"/>
        <v>235</v>
      </c>
      <c r="Y13" s="120"/>
      <c r="Z13" s="96">
        <f t="shared" si="1"/>
        <v>253</v>
      </c>
      <c r="AA13" s="97">
        <f t="shared" ref="AA13:AA18" si="7">IF(C13=2007, Z13/3,Z13)+Y13</f>
        <v>253</v>
      </c>
      <c r="AB13" s="22"/>
      <c r="AD13" s="26">
        <v>0</v>
      </c>
      <c r="AF13" s="26">
        <f>3</f>
        <v>3</v>
      </c>
      <c r="AH13" s="26">
        <f>0+3+6</f>
        <v>9</v>
      </c>
      <c r="AI13" s="26">
        <f>223</f>
        <v>223</v>
      </c>
      <c r="AJ13" s="95"/>
      <c r="AK13" s="96">
        <f t="shared" si="2"/>
        <v>235</v>
      </c>
      <c r="AL13" s="97">
        <f>IF(C13=2006, AK13/3,AK13)+AJ13</f>
        <v>235</v>
      </c>
    </row>
    <row r="14" spans="1:38" s="3" customFormat="1" x14ac:dyDescent="0.25">
      <c r="A14" s="11" t="s">
        <v>284</v>
      </c>
      <c r="B14" s="19" t="s">
        <v>36</v>
      </c>
      <c r="C14" s="3">
        <v>2006</v>
      </c>
      <c r="D14" s="1">
        <f t="shared" si="3"/>
        <v>276</v>
      </c>
      <c r="E14" s="233"/>
      <c r="F14" s="219"/>
      <c r="G14" s="120"/>
      <c r="H14" s="219"/>
      <c r="I14" s="205"/>
      <c r="J14" s="196"/>
      <c r="K14" s="186"/>
      <c r="L14" s="170">
        <f>6</f>
        <v>6</v>
      </c>
      <c r="M14" s="50">
        <f>12+12</f>
        <v>24</v>
      </c>
      <c r="N14" s="50"/>
      <c r="O14" s="219">
        <f t="shared" si="4"/>
        <v>246</v>
      </c>
      <c r="P14" s="120"/>
      <c r="Q14" s="96">
        <f t="shared" si="5"/>
        <v>276</v>
      </c>
      <c r="R14" s="97">
        <f t="shared" si="6"/>
        <v>276</v>
      </c>
      <c r="S14" s="22"/>
      <c r="T14" s="50"/>
      <c r="U14" s="50"/>
      <c r="V14" s="50">
        <f>0</f>
        <v>0</v>
      </c>
      <c r="W14" s="50">
        <f>6</f>
        <v>6</v>
      </c>
      <c r="X14" s="50">
        <f t="shared" si="0"/>
        <v>240</v>
      </c>
      <c r="Y14" s="120"/>
      <c r="Z14" s="96">
        <f t="shared" si="1"/>
        <v>246</v>
      </c>
      <c r="AA14" s="97">
        <f t="shared" si="7"/>
        <v>246</v>
      </c>
      <c r="AB14" s="22"/>
      <c r="AC14" s="13"/>
      <c r="AD14" s="13"/>
      <c r="AE14" s="13">
        <f>12+3</f>
        <v>15</v>
      </c>
      <c r="AF14" s="13">
        <f>36+18</f>
        <v>54</v>
      </c>
      <c r="AG14" s="13">
        <f>6+3</f>
        <v>9</v>
      </c>
      <c r="AH14" s="13">
        <f>6+12</f>
        <v>18</v>
      </c>
      <c r="AI14" s="13">
        <f>624</f>
        <v>624</v>
      </c>
      <c r="AJ14" s="95"/>
      <c r="AK14" s="96">
        <f t="shared" si="2"/>
        <v>720</v>
      </c>
      <c r="AL14" s="97">
        <f>IF(C14=2006, AK14/3,AK14)+AJ14</f>
        <v>240</v>
      </c>
    </row>
    <row r="15" spans="1:38" x14ac:dyDescent="0.25">
      <c r="A15" s="60" t="s">
        <v>376</v>
      </c>
      <c r="B15" s="65" t="s">
        <v>36</v>
      </c>
      <c r="C15" s="62">
        <v>2005</v>
      </c>
      <c r="D15" s="1">
        <f t="shared" si="3"/>
        <v>726</v>
      </c>
      <c r="G15" s="120"/>
      <c r="I15" s="205"/>
      <c r="J15" s="196"/>
      <c r="K15" s="186"/>
      <c r="L15" s="170">
        <f>9+6</f>
        <v>15</v>
      </c>
      <c r="M15" s="50">
        <f>33+12+12</f>
        <v>57</v>
      </c>
      <c r="N15" s="50"/>
      <c r="O15" s="219">
        <f t="shared" si="4"/>
        <v>654</v>
      </c>
      <c r="P15" s="120"/>
      <c r="Q15" s="96">
        <f t="shared" si="5"/>
        <v>726</v>
      </c>
      <c r="R15" s="97">
        <f t="shared" si="6"/>
        <v>726</v>
      </c>
      <c r="S15" s="22"/>
      <c r="T15" s="50"/>
      <c r="U15" s="50"/>
      <c r="V15" s="50">
        <f>18</f>
        <v>18</v>
      </c>
      <c r="W15" s="50"/>
      <c r="X15" s="50">
        <f t="shared" si="0"/>
        <v>636</v>
      </c>
      <c r="Y15" s="120"/>
      <c r="Z15" s="96">
        <f t="shared" si="1"/>
        <v>654</v>
      </c>
      <c r="AA15" s="97">
        <f t="shared" si="7"/>
        <v>654</v>
      </c>
      <c r="AB15" s="22"/>
      <c r="AF15" s="26">
        <f>15+6</f>
        <v>21</v>
      </c>
      <c r="AH15" s="26">
        <f>18</f>
        <v>18</v>
      </c>
      <c r="AI15" s="26">
        <f>597</f>
        <v>597</v>
      </c>
      <c r="AJ15" s="95"/>
      <c r="AK15" s="96">
        <f t="shared" si="2"/>
        <v>636</v>
      </c>
      <c r="AL15" s="97">
        <f>IF(C15=2006, AK15/3,AK15)+AJ15</f>
        <v>636</v>
      </c>
    </row>
    <row r="16" spans="1:38" x14ac:dyDescent="0.25">
      <c r="A16" s="60" t="s">
        <v>217</v>
      </c>
      <c r="B16" s="65" t="s">
        <v>111</v>
      </c>
      <c r="C16" s="62">
        <v>2004</v>
      </c>
      <c r="D16" s="1">
        <f t="shared" si="3"/>
        <v>286</v>
      </c>
      <c r="G16" s="154"/>
      <c r="I16" s="205"/>
      <c r="J16" s="196"/>
      <c r="K16" s="186"/>
      <c r="L16" s="170"/>
      <c r="M16" s="50"/>
      <c r="N16" s="50"/>
      <c r="O16" s="219">
        <f t="shared" si="4"/>
        <v>286</v>
      </c>
      <c r="P16" s="120"/>
      <c r="Q16" s="96">
        <f t="shared" si="5"/>
        <v>286</v>
      </c>
      <c r="R16" s="97">
        <f t="shared" si="6"/>
        <v>286</v>
      </c>
      <c r="S16" s="22"/>
      <c r="T16" s="50"/>
      <c r="U16" s="50"/>
      <c r="V16" s="50"/>
      <c r="W16" s="50"/>
      <c r="X16" s="50">
        <f t="shared" si="0"/>
        <v>286</v>
      </c>
      <c r="Y16" s="120"/>
      <c r="Z16" s="96">
        <f t="shared" si="1"/>
        <v>286</v>
      </c>
      <c r="AA16" s="97">
        <f t="shared" si="7"/>
        <v>286</v>
      </c>
      <c r="AB16" s="22"/>
      <c r="AD16" s="26">
        <f>6+18</f>
        <v>24</v>
      </c>
      <c r="AF16" s="26">
        <f>3</f>
        <v>3</v>
      </c>
      <c r="AI16" s="26">
        <f>259</f>
        <v>259</v>
      </c>
      <c r="AJ16" s="95"/>
      <c r="AK16" s="96">
        <f t="shared" si="2"/>
        <v>286</v>
      </c>
      <c r="AL16" s="97">
        <f>IF(C16=2006, AK16/3,AK16)+AJ16</f>
        <v>286</v>
      </c>
    </row>
    <row r="17" spans="1:57" s="3" customFormat="1" x14ac:dyDescent="0.25">
      <c r="A17" s="60" t="s">
        <v>363</v>
      </c>
      <c r="B17" s="65" t="s">
        <v>36</v>
      </c>
      <c r="C17" s="62">
        <v>2006</v>
      </c>
      <c r="D17" s="1">
        <f t="shared" si="3"/>
        <v>411.66666666666669</v>
      </c>
      <c r="E17" s="233"/>
      <c r="F17" s="219"/>
      <c r="G17" s="154"/>
      <c r="H17" s="219"/>
      <c r="I17" s="205"/>
      <c r="J17" s="196"/>
      <c r="K17" s="186"/>
      <c r="L17" s="170">
        <f>9+6+6</f>
        <v>21</v>
      </c>
      <c r="M17" s="50">
        <f>42+18+12+12</f>
        <v>84</v>
      </c>
      <c r="N17" s="50"/>
      <c r="O17" s="219">
        <f t="shared" si="4"/>
        <v>306.66666666666669</v>
      </c>
      <c r="P17" s="120"/>
      <c r="Q17" s="96">
        <f t="shared" si="5"/>
        <v>411.66666666666669</v>
      </c>
      <c r="R17" s="97">
        <f t="shared" si="6"/>
        <v>411.66666666666669</v>
      </c>
      <c r="S17" s="22"/>
      <c r="T17" s="50">
        <f>6</f>
        <v>6</v>
      </c>
      <c r="U17" s="50"/>
      <c r="V17" s="50"/>
      <c r="W17" s="50">
        <f>24+6</f>
        <v>30</v>
      </c>
      <c r="X17" s="50">
        <f t="shared" si="0"/>
        <v>270.66666666666669</v>
      </c>
      <c r="Y17" s="120"/>
      <c r="Z17" s="96">
        <f t="shared" si="1"/>
        <v>306.66666666666669</v>
      </c>
      <c r="AA17" s="97">
        <f t="shared" si="7"/>
        <v>306.66666666666669</v>
      </c>
      <c r="AB17" s="22"/>
      <c r="AC17" s="13"/>
      <c r="AD17" s="13"/>
      <c r="AE17" s="13"/>
      <c r="AF17" s="13">
        <f>54</f>
        <v>54</v>
      </c>
      <c r="AG17" s="13">
        <f>0+3</f>
        <v>3</v>
      </c>
      <c r="AH17" s="13">
        <f>12+12</f>
        <v>24</v>
      </c>
      <c r="AI17" s="13">
        <v>731</v>
      </c>
      <c r="AJ17" s="95"/>
      <c r="AK17" s="96">
        <f t="shared" si="2"/>
        <v>812</v>
      </c>
      <c r="AL17" s="97">
        <f>IF(C17=2006, AK17/3,AK17)+AJ17</f>
        <v>270.66666666666669</v>
      </c>
    </row>
    <row r="18" spans="1:57" x14ac:dyDescent="0.25">
      <c r="A18" s="12" t="s">
        <v>634</v>
      </c>
      <c r="B18" s="12" t="s">
        <v>232</v>
      </c>
      <c r="C18" s="4">
        <v>1995</v>
      </c>
      <c r="D18" s="1">
        <f t="shared" si="3"/>
        <v>273</v>
      </c>
      <c r="G18" s="120"/>
      <c r="O18" s="219">
        <f t="shared" si="4"/>
        <v>273</v>
      </c>
      <c r="P18" s="120"/>
      <c r="Q18" s="96">
        <f t="shared" si="5"/>
        <v>273</v>
      </c>
      <c r="R18" s="97">
        <f t="shared" si="6"/>
        <v>273</v>
      </c>
      <c r="V18" s="26">
        <f>48</f>
        <v>48</v>
      </c>
      <c r="X18" s="26">
        <v>225</v>
      </c>
      <c r="Y18" s="120"/>
      <c r="Z18" s="96">
        <f t="shared" si="1"/>
        <v>273</v>
      </c>
      <c r="AA18" s="97">
        <f t="shared" si="7"/>
        <v>273</v>
      </c>
    </row>
    <row r="19" spans="1:57" s="3" customFormat="1" x14ac:dyDescent="0.25">
      <c r="A19" s="60" t="s">
        <v>356</v>
      </c>
      <c r="B19" s="65" t="s">
        <v>0</v>
      </c>
      <c r="C19" s="62">
        <v>2008</v>
      </c>
      <c r="D19" s="1">
        <f t="shared" si="3"/>
        <v>455</v>
      </c>
      <c r="E19" s="233">
        <f>18</f>
        <v>18</v>
      </c>
      <c r="F19" s="219"/>
      <c r="G19" s="120"/>
      <c r="H19" s="219"/>
      <c r="I19" s="205">
        <f>6</f>
        <v>6</v>
      </c>
      <c r="J19" s="196"/>
      <c r="K19" s="186"/>
      <c r="L19" s="170">
        <f>12</f>
        <v>12</v>
      </c>
      <c r="M19" s="50">
        <f>33+6</f>
        <v>39</v>
      </c>
      <c r="N19" s="50">
        <f>39+3</f>
        <v>42</v>
      </c>
      <c r="O19" s="219">
        <f t="shared" si="4"/>
        <v>1176</v>
      </c>
      <c r="P19" s="120">
        <f>3+9</f>
        <v>12</v>
      </c>
      <c r="Q19" s="96">
        <f t="shared" si="5"/>
        <v>1275</v>
      </c>
      <c r="R19" s="97">
        <f t="shared" si="6"/>
        <v>437</v>
      </c>
      <c r="S19" s="22"/>
      <c r="T19" s="50">
        <f>3</f>
        <v>3</v>
      </c>
      <c r="U19" s="50">
        <f>21</f>
        <v>21</v>
      </c>
      <c r="V19" s="50">
        <f>261</f>
        <v>261</v>
      </c>
      <c r="W19" s="50"/>
      <c r="X19" s="50">
        <f>AL19</f>
        <v>891</v>
      </c>
      <c r="Y19" s="120"/>
      <c r="Z19" s="96">
        <f t="shared" si="1"/>
        <v>1176</v>
      </c>
      <c r="AA19" s="97">
        <f>IF(C19=2011, Z19/3,Z19)+Y19</f>
        <v>1176</v>
      </c>
      <c r="AB19" s="22"/>
      <c r="AC19" s="13"/>
      <c r="AD19" s="13"/>
      <c r="AE19" s="13"/>
      <c r="AF19" s="13">
        <f>48</f>
        <v>48</v>
      </c>
      <c r="AG19" s="13">
        <f>18+6</f>
        <v>24</v>
      </c>
      <c r="AH19" s="13">
        <f>90+3</f>
        <v>93</v>
      </c>
      <c r="AI19" s="13">
        <v>726</v>
      </c>
      <c r="AJ19" s="95"/>
      <c r="AK19" s="96">
        <f>SUM(AC19:AI19)</f>
        <v>891</v>
      </c>
      <c r="AL19" s="97">
        <f>IF(C19=2010, AK19/3,AK19)+AJ19</f>
        <v>891</v>
      </c>
    </row>
    <row r="20" spans="1:57" s="3" customFormat="1" x14ac:dyDescent="0.25">
      <c r="A20" s="60" t="s">
        <v>147</v>
      </c>
      <c r="B20" s="65" t="s">
        <v>63</v>
      </c>
      <c r="C20" s="62">
        <v>2008</v>
      </c>
      <c r="D20" s="1">
        <f t="shared" si="3"/>
        <v>239.66666666666666</v>
      </c>
      <c r="E20" s="233"/>
      <c r="F20" s="219"/>
      <c r="G20" s="120"/>
      <c r="H20" s="219"/>
      <c r="I20" s="205"/>
      <c r="J20" s="196"/>
      <c r="K20" s="186"/>
      <c r="L20" s="170">
        <f>9</f>
        <v>9</v>
      </c>
      <c r="M20" s="50">
        <f>9</f>
        <v>9</v>
      </c>
      <c r="N20" s="50"/>
      <c r="O20" s="219">
        <f>AA20</f>
        <v>701</v>
      </c>
      <c r="P20" s="120"/>
      <c r="Q20" s="96">
        <f t="shared" si="5"/>
        <v>719</v>
      </c>
      <c r="R20" s="97">
        <f t="shared" si="6"/>
        <v>239.66666666666666</v>
      </c>
      <c r="S20" s="22"/>
      <c r="T20" s="50"/>
      <c r="U20" s="50">
        <f>9</f>
        <v>9</v>
      </c>
      <c r="V20" s="50">
        <f>186</f>
        <v>186</v>
      </c>
      <c r="W20" s="50">
        <f>12</f>
        <v>12</v>
      </c>
      <c r="X20" s="50">
        <f>AL20</f>
        <v>476</v>
      </c>
      <c r="Y20" s="120">
        <f>6+3+3+6</f>
        <v>18</v>
      </c>
      <c r="Z20" s="96">
        <f>SUM(T20:X20)</f>
        <v>683</v>
      </c>
      <c r="AA20" s="97">
        <f>IF(C20=2011, Z20/3,Z20)+Y20</f>
        <v>701</v>
      </c>
      <c r="AB20" s="22"/>
      <c r="AC20" s="13"/>
      <c r="AD20" s="13">
        <v>36</v>
      </c>
      <c r="AE20" s="13"/>
      <c r="AF20" s="13">
        <f>15</f>
        <v>15</v>
      </c>
      <c r="AG20" s="13">
        <f>12</f>
        <v>12</v>
      </c>
      <c r="AH20" s="13">
        <f>66</f>
        <v>66</v>
      </c>
      <c r="AI20" s="13">
        <f>335</f>
        <v>335</v>
      </c>
      <c r="AJ20" s="95">
        <f>3+3+6</f>
        <v>12</v>
      </c>
      <c r="AK20" s="96">
        <f>SUM(AC20:AI20)</f>
        <v>464</v>
      </c>
      <c r="AL20" s="97">
        <f>IF(C20=2010, AK20/3,AK20)+AJ20</f>
        <v>476</v>
      </c>
    </row>
    <row r="21" spans="1:57" s="27" customFormat="1" x14ac:dyDescent="0.25">
      <c r="A21" s="274" t="s">
        <v>14</v>
      </c>
      <c r="B21" s="280"/>
      <c r="C21" s="281"/>
      <c r="D21" s="22"/>
      <c r="E21" s="233"/>
      <c r="F21" s="219"/>
      <c r="G21" s="120"/>
      <c r="H21" s="219"/>
      <c r="I21" s="205"/>
      <c r="J21" s="196"/>
      <c r="K21" s="186"/>
      <c r="L21" s="170"/>
      <c r="M21" s="50"/>
      <c r="N21" s="50"/>
      <c r="O21" s="219">
        <f t="shared" si="4"/>
        <v>0</v>
      </c>
      <c r="P21" s="50"/>
      <c r="Q21" s="96">
        <f t="shared" si="5"/>
        <v>0</v>
      </c>
      <c r="R21" s="97">
        <f t="shared" si="6"/>
        <v>0</v>
      </c>
      <c r="S21" s="22"/>
      <c r="T21" s="50"/>
      <c r="U21" s="50"/>
      <c r="V21" s="50"/>
      <c r="W21" s="50"/>
      <c r="X21" s="50"/>
      <c r="Y21" s="50"/>
      <c r="Z21" s="68"/>
      <c r="AA21" s="97">
        <f t="shared" ref="AA21" si="8">IF(C21=2007, Z21/3,Z21)+Y21</f>
        <v>0</v>
      </c>
      <c r="AB21" s="22"/>
      <c r="AC21" s="22"/>
      <c r="AD21" s="22"/>
      <c r="AE21" s="22"/>
      <c r="AF21" s="22"/>
      <c r="AG21" s="22"/>
      <c r="AH21" s="22"/>
      <c r="AI21" s="22"/>
      <c r="AJ21" s="68"/>
      <c r="AK21" s="68"/>
      <c r="AL21" s="68"/>
    </row>
    <row r="22" spans="1:57" s="3" customFormat="1" x14ac:dyDescent="0.25">
      <c r="A22" s="60" t="s">
        <v>196</v>
      </c>
      <c r="B22" s="65" t="s">
        <v>87</v>
      </c>
      <c r="C22" s="62">
        <v>2007</v>
      </c>
      <c r="D22" s="1">
        <f>R22+E22+F22</f>
        <v>1</v>
      </c>
      <c r="E22" s="156"/>
      <c r="F22" s="156"/>
      <c r="G22" s="122"/>
      <c r="H22" s="156"/>
      <c r="I22" s="205"/>
      <c r="J22" s="196"/>
      <c r="K22" s="186"/>
      <c r="L22" s="170"/>
      <c r="M22" s="50"/>
      <c r="N22" s="50"/>
      <c r="O22" s="219">
        <f>AA22</f>
        <v>1</v>
      </c>
      <c r="P22" s="120"/>
      <c r="Q22" s="96">
        <f>I22+J22+K22+L22+M22+N22+O22</f>
        <v>1</v>
      </c>
      <c r="R22" s="97">
        <f>IF(C22=2008, Q22/3,Q22)+P22</f>
        <v>1</v>
      </c>
      <c r="S22" s="22"/>
      <c r="T22" s="50"/>
      <c r="U22" s="50"/>
      <c r="V22" s="50"/>
      <c r="W22" s="50"/>
      <c r="X22" s="50">
        <f>AL22</f>
        <v>3</v>
      </c>
      <c r="Y22" s="120"/>
      <c r="Z22" s="96">
        <f>SUM(T22:X22)</f>
        <v>3</v>
      </c>
      <c r="AA22" s="97">
        <f>IF(C22=2007, Z22/3,Z22)+Y22</f>
        <v>1</v>
      </c>
      <c r="AB22" s="22"/>
      <c r="AC22" s="13"/>
      <c r="AD22" s="13">
        <f>3</f>
        <v>3</v>
      </c>
      <c r="AE22" s="13"/>
      <c r="AF22" s="13"/>
      <c r="AG22" s="13"/>
      <c r="AH22" s="13"/>
      <c r="AI22" s="13"/>
      <c r="AJ22" s="95"/>
      <c r="AK22" s="96">
        <f>SUM(AC22:AI22)</f>
        <v>3</v>
      </c>
      <c r="AL22" s="97">
        <f>IF(C22=2010, AK22/3,AK22)+AJ22</f>
        <v>3</v>
      </c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1:57" s="27" customFormat="1" x14ac:dyDescent="0.25">
      <c r="A23" s="60" t="s">
        <v>709</v>
      </c>
      <c r="B23" s="65" t="s">
        <v>710</v>
      </c>
      <c r="C23" s="62">
        <v>2007</v>
      </c>
      <c r="D23" s="1">
        <f>R23+E23+F23</f>
        <v>6</v>
      </c>
      <c r="E23" s="233"/>
      <c r="F23" s="219"/>
      <c r="G23" s="120"/>
      <c r="H23" s="219"/>
      <c r="I23" s="205"/>
      <c r="J23" s="196"/>
      <c r="K23" s="186"/>
      <c r="L23" s="170"/>
      <c r="M23" s="50"/>
      <c r="N23" s="50"/>
      <c r="O23" s="219">
        <f>AA23</f>
        <v>6</v>
      </c>
      <c r="P23" s="120"/>
      <c r="Q23" s="96">
        <f>I23+J23+K23+L23+M23+N23+O23</f>
        <v>6</v>
      </c>
      <c r="R23" s="97">
        <f>IF(C23=2008, Q23/3,Q23)+P23</f>
        <v>6</v>
      </c>
      <c r="S23" s="22"/>
      <c r="T23" s="50"/>
      <c r="U23" s="50">
        <f>18</f>
        <v>18</v>
      </c>
      <c r="V23" s="50"/>
      <c r="W23" s="50"/>
      <c r="X23" s="50"/>
      <c r="Y23" s="120"/>
      <c r="Z23" s="96">
        <f>SUM(T23:X23)</f>
        <v>18</v>
      </c>
      <c r="AA23" s="97">
        <f>IF(C23=2007, Z23/3,Z23)+Y23</f>
        <v>6</v>
      </c>
      <c r="AB23" s="22"/>
      <c r="AC23" s="13"/>
      <c r="AD23" s="13"/>
      <c r="AE23" s="13"/>
      <c r="AF23" s="13"/>
      <c r="AG23" s="13"/>
      <c r="AH23" s="13"/>
      <c r="AI23" s="13"/>
      <c r="AJ23" s="95"/>
      <c r="AK23" s="96"/>
      <c r="AL23" s="9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s="17" customFormat="1" x14ac:dyDescent="0.25">
      <c r="A24" s="60" t="s">
        <v>863</v>
      </c>
      <c r="B24" s="27" t="s">
        <v>633</v>
      </c>
      <c r="C24" s="27">
        <v>2007</v>
      </c>
      <c r="D24" s="1">
        <f>R24+E24+F24</f>
        <v>1</v>
      </c>
      <c r="E24" s="233"/>
      <c r="F24" s="219"/>
      <c r="G24" s="120"/>
      <c r="H24" s="219"/>
      <c r="I24" s="205"/>
      <c r="J24" s="196"/>
      <c r="K24" s="186"/>
      <c r="L24" s="170"/>
      <c r="M24" s="50">
        <f>1</f>
        <v>1</v>
      </c>
      <c r="N24" s="50"/>
      <c r="O24" s="219">
        <f>AA24</f>
        <v>0</v>
      </c>
      <c r="P24" s="219"/>
      <c r="Q24" s="96">
        <f>I24+J24+K24+L24+M24+N24+O24</f>
        <v>1</v>
      </c>
      <c r="R24" s="97">
        <f>IF(C24=2008, Q24/3,Q24)+P24</f>
        <v>1</v>
      </c>
      <c r="S24" s="22"/>
      <c r="T24" s="50"/>
      <c r="U24" s="50"/>
      <c r="V24" s="50"/>
      <c r="W24" s="50"/>
      <c r="X24" s="50"/>
      <c r="Y24" s="219"/>
      <c r="Z24" s="68"/>
      <c r="AA24" s="97"/>
      <c r="AB24" s="22"/>
      <c r="AC24" s="221"/>
      <c r="AD24" s="221"/>
      <c r="AE24" s="221"/>
      <c r="AF24" s="221"/>
      <c r="AG24" s="221"/>
      <c r="AH24" s="221"/>
      <c r="AI24" s="221"/>
      <c r="AJ24" s="68"/>
      <c r="AK24" s="68"/>
      <c r="AL24" s="68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</row>
    <row r="25" spans="1:57" s="17" customFormat="1" x14ac:dyDescent="0.25">
      <c r="A25" s="60" t="s">
        <v>655</v>
      </c>
      <c r="B25" s="65" t="s">
        <v>64</v>
      </c>
      <c r="C25" s="62">
        <v>2008</v>
      </c>
      <c r="D25" s="1">
        <f>R25+E25+F25</f>
        <v>54</v>
      </c>
      <c r="E25" s="233"/>
      <c r="F25" s="219"/>
      <c r="G25" s="120"/>
      <c r="H25" s="219"/>
      <c r="I25" s="205"/>
      <c r="J25" s="196"/>
      <c r="K25" s="186"/>
      <c r="L25" s="170"/>
      <c r="M25" s="50">
        <f>27+15</f>
        <v>42</v>
      </c>
      <c r="N25" s="50">
        <f>33+12</f>
        <v>45</v>
      </c>
      <c r="O25" s="219">
        <f>AA25</f>
        <v>75</v>
      </c>
      <c r="P25" s="120"/>
      <c r="Q25" s="96">
        <f>I25+J25+K25+L25+M25+N25+O25</f>
        <v>162</v>
      </c>
      <c r="R25" s="97">
        <f>IF(C25=2008, Q25/3,Q25)+P25</f>
        <v>54</v>
      </c>
      <c r="S25" s="22"/>
      <c r="T25" s="50"/>
      <c r="U25" s="50"/>
      <c r="V25" s="50">
        <f>12+63</f>
        <v>75</v>
      </c>
      <c r="W25" s="50"/>
      <c r="X25" s="50"/>
      <c r="Y25" s="120"/>
      <c r="Z25" s="96">
        <f>SUM(T25:X25)</f>
        <v>75</v>
      </c>
      <c r="AA25" s="97">
        <f>IF(C25=2011, Z25/3,Z25)+Y25</f>
        <v>75</v>
      </c>
      <c r="AB25" s="22"/>
      <c r="AC25" s="219"/>
      <c r="AD25" s="219"/>
      <c r="AE25" s="219"/>
      <c r="AF25" s="219"/>
      <c r="AG25" s="219"/>
      <c r="AH25" s="219"/>
      <c r="AI25" s="219"/>
      <c r="AJ25" s="68"/>
      <c r="AK25" s="68"/>
      <c r="AL25" s="68"/>
    </row>
    <row r="26" spans="1:57" s="17" customFormat="1" x14ac:dyDescent="0.25">
      <c r="A26" s="60" t="s">
        <v>518</v>
      </c>
      <c r="B26" s="65" t="s">
        <v>86</v>
      </c>
      <c r="C26" s="62">
        <v>2008</v>
      </c>
      <c r="D26" s="1">
        <f>R26+E26+F26</f>
        <v>1</v>
      </c>
      <c r="E26" s="233"/>
      <c r="F26" s="219"/>
      <c r="G26" s="120"/>
      <c r="H26" s="219"/>
      <c r="I26" s="205"/>
      <c r="J26" s="196"/>
      <c r="K26" s="186"/>
      <c r="L26" s="170"/>
      <c r="M26" s="50"/>
      <c r="N26" s="50"/>
      <c r="O26" s="219">
        <f>AA26</f>
        <v>3</v>
      </c>
      <c r="P26" s="120"/>
      <c r="Q26" s="96">
        <f>I26+J26+K26+L26+M26+N26+O26</f>
        <v>3</v>
      </c>
      <c r="R26" s="97">
        <f>IF(C26=2008, Q26/3,Q26)+P26</f>
        <v>1</v>
      </c>
      <c r="S26" s="22"/>
      <c r="T26" s="50"/>
      <c r="U26" s="50"/>
      <c r="V26" s="50"/>
      <c r="W26" s="50"/>
      <c r="X26" s="50">
        <f>AL26</f>
        <v>3</v>
      </c>
      <c r="Y26" s="120"/>
      <c r="Z26" s="96">
        <f>SUM(T26:X26)</f>
        <v>3</v>
      </c>
      <c r="AA26" s="97">
        <f>IF(C26=2011, Z26/3,Z26)+Y26</f>
        <v>3</v>
      </c>
      <c r="AB26" s="22"/>
      <c r="AC26" s="13"/>
      <c r="AD26" s="13"/>
      <c r="AE26" s="13"/>
      <c r="AF26" s="13"/>
      <c r="AG26" s="13"/>
      <c r="AH26" s="13">
        <f>0</f>
        <v>0</v>
      </c>
      <c r="AI26" s="13"/>
      <c r="AJ26" s="95">
        <f>3</f>
        <v>3</v>
      </c>
      <c r="AK26" s="96">
        <f>SUM(AC26:AI26)</f>
        <v>0</v>
      </c>
      <c r="AL26" s="97">
        <f>IF(C26=2010, AK26/3,AK26)+AJ26</f>
        <v>3</v>
      </c>
    </row>
    <row r="27" spans="1:57" s="27" customFormat="1" x14ac:dyDescent="0.25">
      <c r="A27" s="60" t="s">
        <v>519</v>
      </c>
      <c r="B27" s="65" t="s">
        <v>86</v>
      </c>
      <c r="C27" s="62">
        <v>2008</v>
      </c>
      <c r="D27" s="1">
        <f>R27+E27+F27</f>
        <v>1</v>
      </c>
      <c r="E27" s="233"/>
      <c r="F27" s="219"/>
      <c r="G27" s="120"/>
      <c r="H27" s="219"/>
      <c r="I27" s="205"/>
      <c r="J27" s="196"/>
      <c r="K27" s="186"/>
      <c r="L27" s="170"/>
      <c r="M27" s="50"/>
      <c r="N27" s="50"/>
      <c r="O27" s="219">
        <f>AA27</f>
        <v>3</v>
      </c>
      <c r="P27" s="120"/>
      <c r="Q27" s="96">
        <f>I27+J27+K27+L27+M27+N27+O27</f>
        <v>3</v>
      </c>
      <c r="R27" s="97">
        <f>IF(C27=2008, Q27/3,Q27)+P27</f>
        <v>1</v>
      </c>
      <c r="S27" s="22"/>
      <c r="T27" s="50"/>
      <c r="U27" s="50"/>
      <c r="V27" s="50"/>
      <c r="W27" s="50"/>
      <c r="X27" s="50">
        <f>AL27</f>
        <v>3</v>
      </c>
      <c r="Y27" s="120"/>
      <c r="Z27" s="96">
        <f>SUM(T27:X27)</f>
        <v>3</v>
      </c>
      <c r="AA27" s="97">
        <f>IF(C27=2011, Z27/3,Z27)+Y27</f>
        <v>3</v>
      </c>
      <c r="AB27" s="22"/>
      <c r="AC27" s="13"/>
      <c r="AD27" s="13"/>
      <c r="AE27" s="13"/>
      <c r="AF27" s="13"/>
      <c r="AG27" s="13"/>
      <c r="AH27" s="13">
        <f>0</f>
        <v>0</v>
      </c>
      <c r="AI27" s="13"/>
      <c r="AJ27" s="95">
        <f>3</f>
        <v>3</v>
      </c>
      <c r="AK27" s="96">
        <f>SUM(AC27:AI27)</f>
        <v>0</v>
      </c>
      <c r="AL27" s="97">
        <f>IF(C27=2010, AK27/3,AK27)+AJ27</f>
        <v>3</v>
      </c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</row>
    <row r="28" spans="1:57" s="3" customFormat="1" x14ac:dyDescent="0.25">
      <c r="A28" s="60" t="s">
        <v>288</v>
      </c>
      <c r="B28" s="65" t="s">
        <v>232</v>
      </c>
      <c r="C28" s="62">
        <v>2006</v>
      </c>
      <c r="D28" s="1">
        <f>R28+E28+F28</f>
        <v>27</v>
      </c>
      <c r="E28" s="233">
        <f>15</f>
        <v>15</v>
      </c>
      <c r="F28" s="219">
        <f>3</f>
        <v>3</v>
      </c>
      <c r="G28" s="120"/>
      <c r="H28" s="219"/>
      <c r="I28" s="205"/>
      <c r="J28" s="196"/>
      <c r="K28" s="186"/>
      <c r="L28" s="170"/>
      <c r="M28" s="50"/>
      <c r="N28" s="50">
        <f>6</f>
        <v>6</v>
      </c>
      <c r="O28" s="219">
        <f>AA28</f>
        <v>3</v>
      </c>
      <c r="P28" s="120"/>
      <c r="Q28" s="96">
        <f>I28+J28+K28+L28+M28+N28+O28</f>
        <v>9</v>
      </c>
      <c r="R28" s="97">
        <f>IF(C28=2008, Q28/3,Q28)+P28</f>
        <v>9</v>
      </c>
      <c r="S28" s="22"/>
      <c r="T28" s="50">
        <f>3</f>
        <v>3</v>
      </c>
      <c r="U28" s="50"/>
      <c r="V28" s="50"/>
      <c r="W28" s="50"/>
      <c r="X28" s="50">
        <f>AL28</f>
        <v>0</v>
      </c>
      <c r="Y28" s="120"/>
      <c r="Z28" s="96">
        <f>SUM(T28:X28)</f>
        <v>3</v>
      </c>
      <c r="AA28" s="97">
        <f>IF(C28=2007, Z28/3,Z28)+Y28</f>
        <v>3</v>
      </c>
      <c r="AB28" s="22"/>
      <c r="AC28" s="219"/>
      <c r="AD28" s="219"/>
      <c r="AE28" s="219">
        <f>0</f>
        <v>0</v>
      </c>
      <c r="AF28" s="219"/>
      <c r="AG28" s="219"/>
      <c r="AH28" s="219"/>
      <c r="AI28" s="219"/>
      <c r="AJ28" s="95"/>
      <c r="AK28" s="96">
        <f>SUM(AC28:AI28)</f>
        <v>0</v>
      </c>
      <c r="AL28" s="97">
        <f>IF(C28=2006, AK28/3,AK28)+AJ28</f>
        <v>0</v>
      </c>
    </row>
    <row r="29" spans="1:57" s="27" customFormat="1" x14ac:dyDescent="0.25">
      <c r="A29" s="60" t="s">
        <v>521</v>
      </c>
      <c r="B29" s="65" t="s">
        <v>522</v>
      </c>
      <c r="C29" s="62">
        <v>2005</v>
      </c>
      <c r="D29" s="1">
        <f>R29+E29+F29</f>
        <v>9</v>
      </c>
      <c r="E29" s="233"/>
      <c r="F29" s="219"/>
      <c r="G29" s="120"/>
      <c r="H29" s="219"/>
      <c r="I29" s="205"/>
      <c r="J29" s="196"/>
      <c r="K29" s="186"/>
      <c r="L29" s="170"/>
      <c r="M29" s="50"/>
      <c r="N29" s="50"/>
      <c r="O29" s="219">
        <f>AA29</f>
        <v>9</v>
      </c>
      <c r="P29" s="120"/>
      <c r="Q29" s="96">
        <f>I29+J29+K29+L29+M29+N29+O29</f>
        <v>9</v>
      </c>
      <c r="R29" s="97">
        <f>IF(C29=2008, Q29/3,Q29)+P29</f>
        <v>9</v>
      </c>
      <c r="S29" s="22"/>
      <c r="T29" s="50"/>
      <c r="U29" s="50"/>
      <c r="V29" s="50"/>
      <c r="W29" s="50"/>
      <c r="X29" s="50">
        <f>AL29</f>
        <v>9</v>
      </c>
      <c r="Y29" s="120"/>
      <c r="Z29" s="96">
        <f>SUM(T29:X29)</f>
        <v>9</v>
      </c>
      <c r="AA29" s="97">
        <f>IF(C29=2007, Z29/3,Z29)+Y29</f>
        <v>9</v>
      </c>
      <c r="AB29" s="22"/>
      <c r="AC29" s="221"/>
      <c r="AD29" s="221"/>
      <c r="AE29" s="221"/>
      <c r="AF29" s="221"/>
      <c r="AG29" s="221"/>
      <c r="AH29" s="221">
        <f>9</f>
        <v>9</v>
      </c>
      <c r="AI29" s="221"/>
      <c r="AJ29" s="95"/>
      <c r="AK29" s="96">
        <f>SUM(AC29:AI29)</f>
        <v>9</v>
      </c>
      <c r="AL29" s="97">
        <f>IF(C29=2006, AK29/3,AK29)+AJ29</f>
        <v>9</v>
      </c>
    </row>
    <row r="30" spans="1:57" s="27" customFormat="1" x14ac:dyDescent="0.25">
      <c r="A30" s="11" t="s">
        <v>656</v>
      </c>
      <c r="B30" s="83" t="s">
        <v>7</v>
      </c>
      <c r="C30" s="17">
        <v>2008</v>
      </c>
      <c r="D30" s="1">
        <f>R30+E30+F30</f>
        <v>6.666666666666667</v>
      </c>
      <c r="E30" s="233"/>
      <c r="F30" s="219"/>
      <c r="G30" s="219"/>
      <c r="H30" s="219"/>
      <c r="I30" s="205"/>
      <c r="J30" s="196"/>
      <c r="K30" s="186"/>
      <c r="L30" s="170"/>
      <c r="M30" s="50"/>
      <c r="N30" s="50"/>
      <c r="O30" s="219">
        <f>AA30</f>
        <v>20</v>
      </c>
      <c r="P30" s="120"/>
      <c r="Q30" s="96">
        <f>I30+J30+K30+L30+M30+N30+O30</f>
        <v>20</v>
      </c>
      <c r="R30" s="97">
        <f>IF(C30=2008, Q30/3,Q30)+P30</f>
        <v>6.666666666666667</v>
      </c>
      <c r="S30" s="22"/>
      <c r="T30" s="50"/>
      <c r="U30" s="50"/>
      <c r="V30" s="50"/>
      <c r="W30" s="50"/>
      <c r="X30" s="50">
        <f>20</f>
        <v>20</v>
      </c>
      <c r="Y30" s="120"/>
      <c r="Z30" s="96">
        <f>SUM(T30:X30)</f>
        <v>20</v>
      </c>
      <c r="AA30" s="97">
        <f>IF(C30=2011, Z30/3,Z30)+Y30</f>
        <v>20</v>
      </c>
      <c r="AB30" s="22"/>
      <c r="AC30" s="22"/>
      <c r="AD30" s="22"/>
      <c r="AE30" s="22"/>
      <c r="AF30" s="13"/>
      <c r="AG30" s="13"/>
      <c r="AH30" s="13"/>
      <c r="AI30" s="13"/>
      <c r="AJ30" s="95"/>
      <c r="AK30" s="96"/>
      <c r="AL30" s="97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s="3" customFormat="1" x14ac:dyDescent="0.25">
      <c r="A31" s="11" t="s">
        <v>793</v>
      </c>
      <c r="B31" s="83" t="s">
        <v>0</v>
      </c>
      <c r="C31" s="17">
        <v>2008</v>
      </c>
      <c r="D31" s="1">
        <f>R31+E31+F31</f>
        <v>27.333333333333332</v>
      </c>
      <c r="E31" s="233"/>
      <c r="F31" s="219"/>
      <c r="G31" s="154"/>
      <c r="H31" s="219"/>
      <c r="I31" s="205"/>
      <c r="J31" s="196"/>
      <c r="K31" s="186"/>
      <c r="L31" s="170">
        <f>16</f>
        <v>16</v>
      </c>
      <c r="M31" s="50">
        <f>24+6</f>
        <v>30</v>
      </c>
      <c r="N31" s="50">
        <f>24+3</f>
        <v>27</v>
      </c>
      <c r="O31" s="219">
        <f>AA31</f>
        <v>0</v>
      </c>
      <c r="P31" s="120">
        <f>3</f>
        <v>3</v>
      </c>
      <c r="Q31" s="96">
        <f>I31+J31+K31+L31+M31+N31+O31</f>
        <v>73</v>
      </c>
      <c r="R31" s="97">
        <f>IF(C31=2008, Q31/3,Q31)+P31</f>
        <v>27.333333333333332</v>
      </c>
      <c r="S31" s="22"/>
      <c r="T31" s="50"/>
      <c r="U31" s="50"/>
      <c r="V31" s="50"/>
      <c r="W31" s="50"/>
      <c r="X31" s="50"/>
      <c r="Y31" s="120"/>
      <c r="Z31" s="96"/>
      <c r="AA31" s="97"/>
      <c r="AB31" s="22"/>
      <c r="AC31" s="22"/>
      <c r="AD31" s="22"/>
      <c r="AE31" s="22"/>
      <c r="AF31" s="13"/>
      <c r="AG31" s="13"/>
      <c r="AH31" s="13"/>
      <c r="AI31" s="13"/>
      <c r="AJ31" s="95"/>
      <c r="AK31" s="96"/>
      <c r="AL31" s="97"/>
    </row>
    <row r="32" spans="1:57" x14ac:dyDescent="0.25">
      <c r="A32" s="60" t="s">
        <v>148</v>
      </c>
      <c r="B32" s="65" t="s">
        <v>63</v>
      </c>
      <c r="C32" s="62">
        <v>2007</v>
      </c>
      <c r="D32" s="1">
        <f>R32+E32+F32</f>
        <v>78</v>
      </c>
      <c r="G32" s="154"/>
      <c r="I32" s="205"/>
      <c r="J32" s="196"/>
      <c r="K32" s="186"/>
      <c r="L32" s="170">
        <f>9</f>
        <v>9</v>
      </c>
      <c r="M32" s="50">
        <f>6+9</f>
        <v>15</v>
      </c>
      <c r="N32" s="50"/>
      <c r="O32" s="219">
        <f>AA32</f>
        <v>54</v>
      </c>
      <c r="P32" s="120"/>
      <c r="Q32" s="96">
        <f>I32+J32+K32+L32+M32+N32+O32</f>
        <v>78</v>
      </c>
      <c r="R32" s="97">
        <f>IF(C32=2008, Q32/3,Q32)+P32</f>
        <v>78</v>
      </c>
      <c r="S32" s="22"/>
      <c r="T32" s="50"/>
      <c r="U32" s="50"/>
      <c r="V32" s="50">
        <f>34+45</f>
        <v>79</v>
      </c>
      <c r="W32" s="50">
        <f>6+6</f>
        <v>12</v>
      </c>
      <c r="X32" s="50">
        <f>AL32</f>
        <v>62</v>
      </c>
      <c r="Y32" s="120">
        <f>3</f>
        <v>3</v>
      </c>
      <c r="Z32" s="96">
        <f>SUM(T32:X32)</f>
        <v>153</v>
      </c>
      <c r="AA32" s="97">
        <f>IF(C32=2007, Z32/3,Z32)+Y32</f>
        <v>54</v>
      </c>
      <c r="AB32" s="22"/>
      <c r="AC32" s="13"/>
      <c r="AD32" s="13">
        <v>15</v>
      </c>
      <c r="AE32" s="13"/>
      <c r="AF32" s="13">
        <f>17+3</f>
        <v>20</v>
      </c>
      <c r="AG32" s="13">
        <f>0+3</f>
        <v>3</v>
      </c>
      <c r="AH32" s="13">
        <f>12+6</f>
        <v>18</v>
      </c>
      <c r="AI32" s="13"/>
      <c r="AJ32" s="95">
        <f>6</f>
        <v>6</v>
      </c>
      <c r="AK32" s="96">
        <f>SUM(AC32:AI32)</f>
        <v>56</v>
      </c>
      <c r="AL32" s="97">
        <f>IF(C32=2010, AK32/3,AK32)+AJ32</f>
        <v>62</v>
      </c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</row>
    <row r="33" spans="1:57" s="52" customFormat="1" x14ac:dyDescent="0.25">
      <c r="A33" s="11" t="s">
        <v>462</v>
      </c>
      <c r="B33" s="83" t="s">
        <v>0</v>
      </c>
      <c r="C33" s="17">
        <v>2006</v>
      </c>
      <c r="D33" s="1">
        <f>R33+E33+F33</f>
        <v>24</v>
      </c>
      <c r="E33" s="233"/>
      <c r="F33" s="219"/>
      <c r="G33" s="120"/>
      <c r="H33" s="219"/>
      <c r="I33" s="205"/>
      <c r="J33" s="196"/>
      <c r="K33" s="186"/>
      <c r="L33" s="170">
        <f>3</f>
        <v>3</v>
      </c>
      <c r="M33" s="50">
        <f>4+6</f>
        <v>10</v>
      </c>
      <c r="N33" s="50"/>
      <c r="O33" s="219">
        <f>AA33</f>
        <v>11</v>
      </c>
      <c r="P33" s="120"/>
      <c r="Q33" s="96">
        <f>I33+J33+K33+L33+M33+N33+O33</f>
        <v>24</v>
      </c>
      <c r="R33" s="97">
        <f>IF(C33=2008, Q33/3,Q33)+P33</f>
        <v>24</v>
      </c>
      <c r="S33" s="22"/>
      <c r="T33" s="50">
        <f>2</f>
        <v>2</v>
      </c>
      <c r="U33" s="50">
        <f>6</f>
        <v>6</v>
      </c>
      <c r="V33" s="50"/>
      <c r="W33" s="50"/>
      <c r="X33" s="50">
        <f>AL33</f>
        <v>3</v>
      </c>
      <c r="Y33" s="120"/>
      <c r="Z33" s="96">
        <f>SUM(T33:X33)</f>
        <v>11</v>
      </c>
      <c r="AA33" s="97">
        <f>IF(C33=2007, Z33/3,Z33)+Y33</f>
        <v>11</v>
      </c>
      <c r="AB33" s="22"/>
      <c r="AC33" s="22"/>
      <c r="AD33" s="22"/>
      <c r="AE33" s="22"/>
      <c r="AF33" s="13"/>
      <c r="AG33" s="13">
        <f>6</f>
        <v>6</v>
      </c>
      <c r="AH33" s="13">
        <f>3</f>
        <v>3</v>
      </c>
      <c r="AI33" s="13"/>
      <c r="AJ33" s="95"/>
      <c r="AK33" s="96">
        <f>SUM(AC33:AI33)</f>
        <v>9</v>
      </c>
      <c r="AL33" s="97">
        <f>IF(C33=2006, AK33/3,AK33)+AJ33</f>
        <v>3</v>
      </c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</row>
    <row r="34" spans="1:57" x14ac:dyDescent="0.25">
      <c r="A34" s="60" t="s">
        <v>862</v>
      </c>
      <c r="B34" s="65" t="s">
        <v>633</v>
      </c>
      <c r="C34" s="62">
        <v>2008</v>
      </c>
      <c r="D34" s="1">
        <f>R34+E34+F34</f>
        <v>0</v>
      </c>
      <c r="G34" s="120"/>
      <c r="I34" s="205"/>
      <c r="J34" s="196"/>
      <c r="K34" s="186"/>
      <c r="L34" s="174"/>
      <c r="M34" s="174">
        <f>0</f>
        <v>0</v>
      </c>
      <c r="N34" s="174"/>
      <c r="O34" s="219">
        <f>AA34</f>
        <v>0</v>
      </c>
      <c r="P34" s="120"/>
      <c r="Q34" s="96">
        <f>I34+J34+K34+L34+M34+N34+O34</f>
        <v>0</v>
      </c>
      <c r="R34" s="97">
        <f>IF(C34=2008, Q34/3,Q34)+P34</f>
        <v>0</v>
      </c>
      <c r="S34" s="22"/>
      <c r="T34" s="174"/>
      <c r="U34" s="174"/>
      <c r="V34" s="174"/>
      <c r="W34" s="174"/>
      <c r="X34" s="174"/>
      <c r="Y34" s="120"/>
      <c r="Z34" s="96"/>
      <c r="AA34" s="97"/>
      <c r="AB34" s="22"/>
      <c r="AC34" s="13"/>
      <c r="AD34" s="13"/>
      <c r="AE34" s="13"/>
      <c r="AF34" s="13"/>
      <c r="AG34" s="13"/>
      <c r="AH34" s="13"/>
      <c r="AI34" s="13"/>
      <c r="AJ34" s="95"/>
      <c r="AK34" s="96"/>
      <c r="AL34" s="9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</row>
    <row r="35" spans="1:57" s="3" customFormat="1" x14ac:dyDescent="0.25">
      <c r="A35" s="60" t="s">
        <v>525</v>
      </c>
      <c r="B35" s="65" t="s">
        <v>63</v>
      </c>
      <c r="C35" s="62">
        <v>2001</v>
      </c>
      <c r="D35" s="1">
        <f>R35+E35+F35</f>
        <v>42</v>
      </c>
      <c r="E35" s="233"/>
      <c r="F35" s="219"/>
      <c r="G35" s="120"/>
      <c r="H35" s="219"/>
      <c r="I35" s="219"/>
      <c r="J35" s="219"/>
      <c r="K35" s="219"/>
      <c r="L35" s="219"/>
      <c r="M35" s="219">
        <f>9</f>
        <v>9</v>
      </c>
      <c r="N35" s="219"/>
      <c r="O35" s="219">
        <f>AA35</f>
        <v>33</v>
      </c>
      <c r="P35" s="120"/>
      <c r="Q35" s="96">
        <f>I35+J35+K35+L35+M35+N35+O35</f>
        <v>42</v>
      </c>
      <c r="R35" s="97">
        <f>IF(C35=2008, Q35/3,Q35)+P35</f>
        <v>42</v>
      </c>
      <c r="S35" s="22"/>
      <c r="T35" s="219"/>
      <c r="U35" s="219"/>
      <c r="V35" s="219">
        <f>3</f>
        <v>3</v>
      </c>
      <c r="W35" s="219">
        <f>9+3+3</f>
        <v>15</v>
      </c>
      <c r="X35" s="219">
        <f>AL35</f>
        <v>15</v>
      </c>
      <c r="Y35" s="120"/>
      <c r="Z35" s="96">
        <f>SUM(T35:X35)</f>
        <v>33</v>
      </c>
      <c r="AA35" s="97">
        <f>IF(C35=2007, Z35/3,Z35)+Y35</f>
        <v>33</v>
      </c>
      <c r="AB35" s="22"/>
      <c r="AC35" s="221"/>
      <c r="AD35" s="221"/>
      <c r="AE35" s="221"/>
      <c r="AF35" s="221"/>
      <c r="AG35" s="221"/>
      <c r="AH35" s="221">
        <f>6+3+6</f>
        <v>15</v>
      </c>
      <c r="AI35" s="221"/>
      <c r="AJ35" s="95"/>
      <c r="AK35" s="96">
        <f>SUM(AC35:AI35)</f>
        <v>15</v>
      </c>
      <c r="AL35" s="97">
        <f>IF(C35=2006, AK35/3,AK35)+AJ35</f>
        <v>15</v>
      </c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</row>
    <row r="36" spans="1:57" s="3" customFormat="1" x14ac:dyDescent="0.25">
      <c r="A36" s="60" t="s">
        <v>676</v>
      </c>
      <c r="B36" s="65" t="s">
        <v>479</v>
      </c>
      <c r="C36" s="62">
        <v>2007</v>
      </c>
      <c r="D36" s="1">
        <f>R36+E36+F36</f>
        <v>9</v>
      </c>
      <c r="E36" s="233"/>
      <c r="F36" s="219"/>
      <c r="G36" s="154"/>
      <c r="H36" s="219"/>
      <c r="I36" s="205"/>
      <c r="J36" s="196"/>
      <c r="K36" s="186"/>
      <c r="L36" s="170"/>
      <c r="M36" s="50"/>
      <c r="N36" s="50"/>
      <c r="O36" s="219">
        <f>AA36</f>
        <v>9</v>
      </c>
      <c r="P36" s="120"/>
      <c r="Q36" s="96">
        <f>I36+J36+K36+L36+M36+N36+O36</f>
        <v>9</v>
      </c>
      <c r="R36" s="97">
        <f>IF(C36=2008, Q36/3,Q36)+P36</f>
        <v>9</v>
      </c>
      <c r="S36" s="22"/>
      <c r="T36" s="50"/>
      <c r="U36" s="50">
        <f>6</f>
        <v>6</v>
      </c>
      <c r="V36" s="50">
        <f>21</f>
        <v>21</v>
      </c>
      <c r="W36" s="50"/>
      <c r="X36" s="50"/>
      <c r="Y36" s="120"/>
      <c r="Z36" s="96">
        <f>SUM(T36:X36)</f>
        <v>27</v>
      </c>
      <c r="AA36" s="97">
        <f>IF(C36=2007, Z36/3,Z36)+Y36</f>
        <v>9</v>
      </c>
      <c r="AB36" s="22"/>
      <c r="AC36" s="13"/>
      <c r="AD36" s="13"/>
      <c r="AE36" s="13"/>
      <c r="AF36" s="13"/>
      <c r="AG36" s="13"/>
      <c r="AH36" s="13"/>
      <c r="AI36" s="13"/>
      <c r="AJ36" s="95"/>
      <c r="AK36" s="96"/>
      <c r="AL36" s="97"/>
    </row>
    <row r="37" spans="1:57" s="3" customFormat="1" ht="14.25" customHeight="1" x14ac:dyDescent="0.25">
      <c r="A37" s="11" t="s">
        <v>365</v>
      </c>
      <c r="B37" s="19" t="s">
        <v>7</v>
      </c>
      <c r="C37" s="3">
        <v>2006</v>
      </c>
      <c r="D37" s="1">
        <f>R37+E37+F37</f>
        <v>109</v>
      </c>
      <c r="E37" s="233"/>
      <c r="F37" s="219"/>
      <c r="G37" s="120"/>
      <c r="H37" s="219"/>
      <c r="I37" s="205"/>
      <c r="J37" s="196"/>
      <c r="K37" s="186"/>
      <c r="L37" s="170"/>
      <c r="M37" s="50"/>
      <c r="N37" s="50"/>
      <c r="O37" s="219">
        <f>AA37</f>
        <v>109</v>
      </c>
      <c r="P37" s="120"/>
      <c r="Q37" s="96">
        <f>I37+J37+K37+L37+M37+N37+O37</f>
        <v>109</v>
      </c>
      <c r="R37" s="97">
        <f>IF(C37=2008, Q37/3,Q37)+P37</f>
        <v>109</v>
      </c>
      <c r="S37" s="22"/>
      <c r="T37" s="50"/>
      <c r="U37" s="50"/>
      <c r="V37" s="50"/>
      <c r="W37" s="50"/>
      <c r="X37" s="50">
        <f>AL37</f>
        <v>109</v>
      </c>
      <c r="Y37" s="120"/>
      <c r="Z37" s="96">
        <f>SUM(T37:X37)</f>
        <v>109</v>
      </c>
      <c r="AA37" s="97">
        <f>IF(C37=2007, Z37/3,Z37)+Y37</f>
        <v>109</v>
      </c>
      <c r="AB37" s="22"/>
      <c r="AC37" s="13"/>
      <c r="AD37" s="13"/>
      <c r="AE37" s="13"/>
      <c r="AF37" s="13">
        <f>18</f>
        <v>18</v>
      </c>
      <c r="AG37" s="13"/>
      <c r="AH37" s="13"/>
      <c r="AI37" s="13">
        <v>309</v>
      </c>
      <c r="AJ37" s="95"/>
      <c r="AK37" s="96">
        <f>SUM(AC37:AI37)</f>
        <v>327</v>
      </c>
      <c r="AL37" s="97">
        <f>IF(C37=2006, AK37/3,AK37)+AJ37</f>
        <v>109</v>
      </c>
    </row>
    <row r="38" spans="1:57" x14ac:dyDescent="0.25">
      <c r="A38" s="60" t="s">
        <v>274</v>
      </c>
      <c r="B38" s="65" t="s">
        <v>36</v>
      </c>
      <c r="C38" s="62">
        <v>2008</v>
      </c>
      <c r="D38" s="1">
        <f>R38+E38+F38</f>
        <v>56.333333333333336</v>
      </c>
      <c r="G38" s="154"/>
      <c r="I38" s="205"/>
      <c r="J38" s="196"/>
      <c r="K38" s="186"/>
      <c r="L38" s="170"/>
      <c r="M38" s="50"/>
      <c r="N38" s="50"/>
      <c r="O38" s="219">
        <f>AA38</f>
        <v>169</v>
      </c>
      <c r="P38" s="120"/>
      <c r="Q38" s="96">
        <f>I38+J38+K38+L38+M38+N38+O38</f>
        <v>169</v>
      </c>
      <c r="R38" s="97">
        <f>IF(C38=2008, Q38/3,Q38)+P38</f>
        <v>56.333333333333336</v>
      </c>
      <c r="S38" s="22"/>
      <c r="T38" s="50"/>
      <c r="U38" s="50">
        <f>32+15</f>
        <v>47</v>
      </c>
      <c r="V38" s="50">
        <f>42+16</f>
        <v>58</v>
      </c>
      <c r="W38" s="50">
        <f>27+9</f>
        <v>36</v>
      </c>
      <c r="X38" s="50">
        <f>AL38</f>
        <v>28</v>
      </c>
      <c r="Y38" s="120"/>
      <c r="Z38" s="96">
        <f>SUM(T38:X38)</f>
        <v>169</v>
      </c>
      <c r="AA38" s="97">
        <f>IF(C38=2011, Z38/3,Z38)+Y38</f>
        <v>169</v>
      </c>
      <c r="AB38" s="22"/>
      <c r="AC38" s="13"/>
      <c r="AD38" s="13"/>
      <c r="AE38" s="13">
        <f>0</f>
        <v>0</v>
      </c>
      <c r="AF38" s="13"/>
      <c r="AG38" s="13"/>
      <c r="AH38" s="13">
        <f>12+12+4</f>
        <v>28</v>
      </c>
      <c r="AI38" s="13"/>
      <c r="AJ38" s="95"/>
      <c r="AK38" s="96">
        <f>SUM(AC38:AI38)</f>
        <v>28</v>
      </c>
      <c r="AL38" s="97">
        <f>IF(C38=2010, AK38/3,AK38)+AJ38</f>
        <v>28</v>
      </c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x14ac:dyDescent="0.25">
      <c r="A39" s="60" t="s">
        <v>214</v>
      </c>
      <c r="B39" s="65" t="s">
        <v>86</v>
      </c>
      <c r="C39" s="62">
        <v>2005</v>
      </c>
      <c r="D39" s="1">
        <f>R39+E39+F39</f>
        <v>3</v>
      </c>
      <c r="E39" s="108"/>
      <c r="F39" s="108"/>
      <c r="G39" s="122"/>
      <c r="H39" s="108"/>
      <c r="I39" s="205"/>
      <c r="J39" s="196"/>
      <c r="K39" s="186"/>
      <c r="L39" s="170"/>
      <c r="M39" s="50"/>
      <c r="N39" s="50"/>
      <c r="O39" s="219">
        <f>AA39</f>
        <v>3</v>
      </c>
      <c r="P39" s="120"/>
      <c r="Q39" s="96">
        <f>I39+J39+K39+L39+M39+N39+O39</f>
        <v>3</v>
      </c>
      <c r="R39" s="97">
        <f>IF(C39=2008, Q39/3,Q39)+P39</f>
        <v>3</v>
      </c>
      <c r="S39" s="22"/>
      <c r="T39" s="50"/>
      <c r="U39" s="50"/>
      <c r="V39" s="50"/>
      <c r="W39" s="50"/>
      <c r="X39" s="50">
        <f>AL39</f>
        <v>3</v>
      </c>
      <c r="Y39" s="120"/>
      <c r="Z39" s="96">
        <f>SUM(T39:X39)</f>
        <v>3</v>
      </c>
      <c r="AA39" s="97">
        <f>IF(C39=2007, Z39/3,Z39)+Y39</f>
        <v>3</v>
      </c>
      <c r="AB39" s="22"/>
      <c r="AD39" s="26">
        <v>0</v>
      </c>
      <c r="AF39" s="26">
        <f>3</f>
        <v>3</v>
      </c>
      <c r="AJ39" s="95"/>
      <c r="AK39" s="96">
        <f>SUM(AC39:AI39)</f>
        <v>3</v>
      </c>
      <c r="AL39" s="97">
        <f>IF(C39=2006, AK39/3,AK39)+AJ39</f>
        <v>3</v>
      </c>
    </row>
    <row r="40" spans="1:57" s="52" customFormat="1" x14ac:dyDescent="0.25">
      <c r="A40" s="71" t="s">
        <v>517</v>
      </c>
      <c r="B40" s="19" t="s">
        <v>86</v>
      </c>
      <c r="C40" s="72">
        <v>2008</v>
      </c>
      <c r="D40" s="1">
        <f>R40+E40+F40</f>
        <v>10</v>
      </c>
      <c r="E40" s="233"/>
      <c r="F40" s="219"/>
      <c r="G40" s="120"/>
      <c r="H40" s="219"/>
      <c r="I40" s="205"/>
      <c r="J40" s="196"/>
      <c r="K40" s="186"/>
      <c r="L40" s="170"/>
      <c r="M40" s="50"/>
      <c r="N40" s="50"/>
      <c r="O40" s="219">
        <f>AA40</f>
        <v>30</v>
      </c>
      <c r="P40" s="120"/>
      <c r="Q40" s="96">
        <f>I40+J40+K40+L40+M40+N40+O40</f>
        <v>30</v>
      </c>
      <c r="R40" s="97">
        <f>IF(C40=2008, Q40/3,Q40)+P40</f>
        <v>10</v>
      </c>
      <c r="S40" s="22"/>
      <c r="T40" s="50"/>
      <c r="U40" s="50"/>
      <c r="V40" s="50"/>
      <c r="W40" s="50"/>
      <c r="X40" s="50">
        <f>AL40</f>
        <v>30</v>
      </c>
      <c r="Y40" s="120"/>
      <c r="Z40" s="96">
        <f>SUM(T40:X40)</f>
        <v>30</v>
      </c>
      <c r="AA40" s="97">
        <f>IF(C40=2011, Z40/3,Z40)+Y40</f>
        <v>30</v>
      </c>
      <c r="AB40" s="22"/>
      <c r="AC40" s="13"/>
      <c r="AD40" s="13"/>
      <c r="AE40" s="13"/>
      <c r="AF40" s="13"/>
      <c r="AG40" s="13"/>
      <c r="AH40" s="13">
        <f>0</f>
        <v>0</v>
      </c>
      <c r="AI40" s="13">
        <f>27</f>
        <v>27</v>
      </c>
      <c r="AJ40" s="95">
        <f>3</f>
        <v>3</v>
      </c>
      <c r="AK40" s="96">
        <f>SUM(AC40:AI40)</f>
        <v>27</v>
      </c>
      <c r="AL40" s="97">
        <f>IF(C40=2010, AK40/3,AK40)+AJ40</f>
        <v>30</v>
      </c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s="52" customFormat="1" ht="14.25" customHeight="1" x14ac:dyDescent="0.25">
      <c r="A41" s="60" t="s">
        <v>533</v>
      </c>
      <c r="B41" s="65" t="s">
        <v>532</v>
      </c>
      <c r="C41" s="62">
        <v>2006</v>
      </c>
      <c r="D41" s="1">
        <f>R41+E41+F41</f>
        <v>22</v>
      </c>
      <c r="E41" s="233"/>
      <c r="F41" s="219"/>
      <c r="G41" s="120"/>
      <c r="H41" s="219"/>
      <c r="I41" s="205"/>
      <c r="J41" s="196"/>
      <c r="K41" s="186"/>
      <c r="L41" s="170"/>
      <c r="M41" s="50"/>
      <c r="N41" s="50"/>
      <c r="O41" s="219">
        <f>AA41</f>
        <v>22</v>
      </c>
      <c r="P41" s="120"/>
      <c r="Q41" s="96">
        <f>I41+J41+K41+L41+M41+N41+O41</f>
        <v>22</v>
      </c>
      <c r="R41" s="97">
        <f>IF(C41=2008, Q41/3,Q41)+P41</f>
        <v>22</v>
      </c>
      <c r="S41" s="22"/>
      <c r="T41" s="50"/>
      <c r="U41" s="50">
        <f>6</f>
        <v>6</v>
      </c>
      <c r="V41" s="50"/>
      <c r="W41" s="50"/>
      <c r="X41" s="50">
        <f>AL41</f>
        <v>16</v>
      </c>
      <c r="Y41" s="120"/>
      <c r="Z41" s="96">
        <f>SUM(T41:X41)</f>
        <v>22</v>
      </c>
      <c r="AA41" s="97">
        <f>IF(C41=2007, Z41/3,Z41)+Y41</f>
        <v>22</v>
      </c>
      <c r="AB41" s="22"/>
      <c r="AC41" s="26"/>
      <c r="AD41" s="26"/>
      <c r="AE41" s="26"/>
      <c r="AF41" s="26"/>
      <c r="AG41" s="26"/>
      <c r="AH41" s="26">
        <f>0</f>
        <v>0</v>
      </c>
      <c r="AI41" s="26">
        <f>48</f>
        <v>48</v>
      </c>
      <c r="AJ41" s="95"/>
      <c r="AK41" s="96">
        <f>SUM(AC41:AI41)</f>
        <v>48</v>
      </c>
      <c r="AL41" s="97">
        <f>IF(C41=2006, AK41/3,AK41)+AJ41</f>
        <v>16</v>
      </c>
    </row>
    <row r="42" spans="1:57" s="52" customFormat="1" x14ac:dyDescent="0.25">
      <c r="A42" s="60" t="s">
        <v>637</v>
      </c>
      <c r="B42" s="65" t="s">
        <v>638</v>
      </c>
      <c r="C42" s="62"/>
      <c r="D42" s="1">
        <f>R42+E42+F42</f>
        <v>6</v>
      </c>
      <c r="E42" s="233"/>
      <c r="F42" s="219"/>
      <c r="G42" s="154"/>
      <c r="H42" s="219"/>
      <c r="I42" s="205"/>
      <c r="J42" s="196"/>
      <c r="K42" s="186"/>
      <c r="L42" s="170"/>
      <c r="M42" s="50"/>
      <c r="N42" s="50"/>
      <c r="O42" s="219">
        <f>AA42</f>
        <v>6</v>
      </c>
      <c r="P42" s="120"/>
      <c r="Q42" s="96">
        <f>I42+J42+K42+L42+M42+N42+O42</f>
        <v>6</v>
      </c>
      <c r="R42" s="97">
        <f>IF(C42=2008, Q42/3,Q42)+P42</f>
        <v>6</v>
      </c>
      <c r="S42" s="22"/>
      <c r="T42" s="50"/>
      <c r="U42" s="50"/>
      <c r="V42" s="50">
        <f>6</f>
        <v>6</v>
      </c>
      <c r="W42" s="50"/>
      <c r="X42" s="50"/>
      <c r="Y42" s="120"/>
      <c r="Z42" s="96">
        <f>SUM(T42:X42)</f>
        <v>6</v>
      </c>
      <c r="AA42" s="97">
        <f>IF(C42=2007, Z42/3,Z42)+Y42</f>
        <v>6</v>
      </c>
      <c r="AB42" s="22"/>
      <c r="AC42" s="221"/>
      <c r="AD42" s="221"/>
      <c r="AE42" s="221"/>
      <c r="AF42" s="221"/>
      <c r="AG42" s="221"/>
      <c r="AH42" s="221"/>
      <c r="AI42" s="221"/>
      <c r="AJ42" s="95"/>
      <c r="AK42" s="96"/>
      <c r="AL42" s="9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</row>
    <row r="43" spans="1:57" x14ac:dyDescent="0.25">
      <c r="A43" s="60" t="s">
        <v>636</v>
      </c>
      <c r="B43" s="65" t="s">
        <v>64</v>
      </c>
      <c r="C43" s="62"/>
      <c r="D43" s="1">
        <f>R43+E43+F43</f>
        <v>6</v>
      </c>
      <c r="G43" s="154"/>
      <c r="I43" s="205"/>
      <c r="J43" s="196"/>
      <c r="K43" s="186"/>
      <c r="L43" s="170"/>
      <c r="M43" s="50"/>
      <c r="N43" s="50"/>
      <c r="O43" s="219">
        <f>AA43</f>
        <v>6</v>
      </c>
      <c r="P43" s="120"/>
      <c r="Q43" s="96">
        <f>I43+J43+K43+L43+M43+N43+O43</f>
        <v>6</v>
      </c>
      <c r="R43" s="97">
        <f>IF(C43=2008, Q43/3,Q43)+P43</f>
        <v>6</v>
      </c>
      <c r="S43" s="22"/>
      <c r="T43" s="50"/>
      <c r="U43" s="50"/>
      <c r="V43" s="50">
        <f>6</f>
        <v>6</v>
      </c>
      <c r="W43" s="50"/>
      <c r="X43" s="50"/>
      <c r="Y43" s="120"/>
      <c r="Z43" s="96">
        <f>SUM(T43:X43)</f>
        <v>6</v>
      </c>
      <c r="AA43" s="97">
        <f>IF(C43=2007, Z43/3,Z43)+Y43</f>
        <v>6</v>
      </c>
      <c r="AB43" s="22"/>
      <c r="AC43" s="221"/>
      <c r="AD43" s="221"/>
      <c r="AE43" s="221"/>
      <c r="AF43" s="221"/>
      <c r="AG43" s="221"/>
      <c r="AH43" s="221"/>
      <c r="AI43" s="221"/>
      <c r="AJ43" s="95"/>
      <c r="AK43" s="96"/>
      <c r="AL43" s="9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</row>
    <row r="44" spans="1:57" x14ac:dyDescent="0.25">
      <c r="A44" s="11" t="s">
        <v>275</v>
      </c>
      <c r="B44" s="19" t="s">
        <v>232</v>
      </c>
      <c r="C44" s="3">
        <v>2008</v>
      </c>
      <c r="D44" s="1">
        <f>R44+E44+F44</f>
        <v>30.333333333333332</v>
      </c>
      <c r="E44" s="156"/>
      <c r="F44" s="156"/>
      <c r="G44" s="122"/>
      <c r="H44" s="156"/>
      <c r="I44" s="205"/>
      <c r="J44" s="196"/>
      <c r="K44" s="186"/>
      <c r="L44" s="170"/>
      <c r="M44" s="50"/>
      <c r="N44" s="50"/>
      <c r="O44" s="219">
        <f>AA44</f>
        <v>91</v>
      </c>
      <c r="P44" s="120"/>
      <c r="Q44" s="96">
        <f>I44+J44+K44+L44+M44+N44+O44</f>
        <v>91</v>
      </c>
      <c r="R44" s="97">
        <f>IF(C44=2008, Q44/3,Q44)+P44</f>
        <v>30.333333333333332</v>
      </c>
      <c r="S44" s="22"/>
      <c r="T44" s="50"/>
      <c r="U44" s="50"/>
      <c r="V44" s="50"/>
      <c r="W44" s="50"/>
      <c r="X44" s="50">
        <f>AL44</f>
        <v>91</v>
      </c>
      <c r="Y44" s="120"/>
      <c r="Z44" s="96">
        <f>SUM(T44:X44)</f>
        <v>91</v>
      </c>
      <c r="AA44" s="97">
        <f>IF(C44=2011, Z44/3,Z44)+Y44</f>
        <v>91</v>
      </c>
      <c r="AB44" s="22"/>
      <c r="AC44" s="13"/>
      <c r="AD44" s="13"/>
      <c r="AE44" s="13">
        <f>24</f>
        <v>24</v>
      </c>
      <c r="AF44" s="13"/>
      <c r="AG44" s="13"/>
      <c r="AH44" s="13"/>
      <c r="AI44" s="13">
        <f>67</f>
        <v>67</v>
      </c>
      <c r="AJ44" s="95"/>
      <c r="AK44" s="96">
        <f>SUM(AC44:AI44)</f>
        <v>91</v>
      </c>
      <c r="AL44" s="97">
        <f>IF(C44=2010, AK44/3,AK44)+AJ44</f>
        <v>91</v>
      </c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57" s="52" customFormat="1" x14ac:dyDescent="0.25">
      <c r="A45" s="77" t="s">
        <v>277</v>
      </c>
      <c r="B45" s="87" t="s">
        <v>232</v>
      </c>
      <c r="C45" s="3">
        <v>2008</v>
      </c>
      <c r="D45" s="1">
        <f>R45+E45+F45</f>
        <v>6</v>
      </c>
      <c r="E45" s="156"/>
      <c r="F45" s="156"/>
      <c r="G45" s="122"/>
      <c r="H45" s="156"/>
      <c r="I45" s="205"/>
      <c r="J45" s="196"/>
      <c r="K45" s="186"/>
      <c r="L45" s="170"/>
      <c r="M45" s="50"/>
      <c r="N45" s="50"/>
      <c r="O45" s="219">
        <f>AA45</f>
        <v>18</v>
      </c>
      <c r="P45" s="120"/>
      <c r="Q45" s="96">
        <f>I45+J45+K45+L45+M45+N45+O45</f>
        <v>18</v>
      </c>
      <c r="R45" s="97">
        <f>IF(C45=2008, Q45/3,Q45)+P45</f>
        <v>6</v>
      </c>
      <c r="S45" s="22"/>
      <c r="T45" s="50"/>
      <c r="U45" s="50"/>
      <c r="V45" s="50"/>
      <c r="W45" s="50"/>
      <c r="X45" s="50">
        <f>AL45</f>
        <v>18</v>
      </c>
      <c r="Y45" s="120"/>
      <c r="Z45" s="96">
        <f>SUM(T45:X45)</f>
        <v>18</v>
      </c>
      <c r="AA45" s="97">
        <f>IF(C45=2011, Z45/3,Z45)+Y45</f>
        <v>18</v>
      </c>
      <c r="AB45" s="22"/>
      <c r="AC45" s="13"/>
      <c r="AD45" s="13"/>
      <c r="AE45" s="13">
        <f>18</f>
        <v>18</v>
      </c>
      <c r="AF45" s="13"/>
      <c r="AG45" s="13"/>
      <c r="AH45" s="13"/>
      <c r="AI45" s="13"/>
      <c r="AJ45" s="95"/>
      <c r="AK45" s="96">
        <f>SUM(AC45:AI45)</f>
        <v>18</v>
      </c>
      <c r="AL45" s="97">
        <f>IF(C45=2010, AK45/3,AK45)+AJ45</f>
        <v>18</v>
      </c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x14ac:dyDescent="0.25">
      <c r="A46" s="11" t="s">
        <v>632</v>
      </c>
      <c r="B46" s="12" t="s">
        <v>633</v>
      </c>
      <c r="C46" s="3">
        <v>2004</v>
      </c>
      <c r="D46" s="1">
        <f>R46+E46+F46</f>
        <v>193</v>
      </c>
      <c r="G46" s="120"/>
      <c r="O46" s="219">
        <f>AA46</f>
        <v>193</v>
      </c>
      <c r="P46" s="120"/>
      <c r="Q46" s="96">
        <f>I46+J46+K46+L46+M46+N46+O46</f>
        <v>193</v>
      </c>
      <c r="R46" s="97">
        <f>IF(C46=2008, Q46/3,Q46)+P46</f>
        <v>193</v>
      </c>
      <c r="U46" s="26">
        <f>6</f>
        <v>6</v>
      </c>
      <c r="V46" s="26">
        <f>54</f>
        <v>54</v>
      </c>
      <c r="X46" s="26">
        <f>133</f>
        <v>133</v>
      </c>
      <c r="Y46" s="120"/>
      <c r="Z46" s="96">
        <f>SUM(T46:X46)</f>
        <v>193</v>
      </c>
      <c r="AA46" s="97">
        <f>IF(C46=2007, Z46/3,Z46)+Y46</f>
        <v>193</v>
      </c>
    </row>
    <row r="47" spans="1:57" x14ac:dyDescent="0.25">
      <c r="A47" s="60" t="s">
        <v>174</v>
      </c>
      <c r="B47" s="65" t="s">
        <v>86</v>
      </c>
      <c r="C47" s="62">
        <v>2008</v>
      </c>
      <c r="D47" s="1">
        <f>R47+E47+F47</f>
        <v>38</v>
      </c>
      <c r="G47" s="154"/>
      <c r="I47" s="205"/>
      <c r="J47" s="196"/>
      <c r="K47" s="186"/>
      <c r="L47" s="170"/>
      <c r="M47" s="50"/>
      <c r="N47" s="50"/>
      <c r="O47" s="219">
        <f>AA47</f>
        <v>114</v>
      </c>
      <c r="P47" s="120"/>
      <c r="Q47" s="96">
        <f>I47+J47+K47+L47+M47+N47+O47</f>
        <v>114</v>
      </c>
      <c r="R47" s="97">
        <f>IF(C47=2008, Q47/3,Q47)+P47</f>
        <v>38</v>
      </c>
      <c r="S47" s="22"/>
      <c r="T47" s="50"/>
      <c r="U47" s="50"/>
      <c r="V47" s="50"/>
      <c r="W47" s="50"/>
      <c r="X47" s="50">
        <f>AL47</f>
        <v>114</v>
      </c>
      <c r="Y47" s="120"/>
      <c r="Z47" s="96">
        <f>SUM(T47:X47)</f>
        <v>114</v>
      </c>
      <c r="AA47" s="97">
        <f>IF(C47=2011, Z47/3,Z47)+Y47</f>
        <v>114</v>
      </c>
      <c r="AB47" s="22"/>
      <c r="AC47" s="13"/>
      <c r="AD47" s="13">
        <v>42</v>
      </c>
      <c r="AE47" s="13"/>
      <c r="AF47" s="13"/>
      <c r="AG47" s="13"/>
      <c r="AH47" s="13">
        <f>66</f>
        <v>66</v>
      </c>
      <c r="AI47" s="13">
        <f>3</f>
        <v>3</v>
      </c>
      <c r="AJ47" s="95">
        <f>3</f>
        <v>3</v>
      </c>
      <c r="AK47" s="96">
        <f>SUM(AC47:AI47)</f>
        <v>111</v>
      </c>
      <c r="AL47" s="97">
        <f>IF(C47=2010, AK47/3,AK47)+AJ47</f>
        <v>114</v>
      </c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</row>
    <row r="48" spans="1:57" s="3" customFormat="1" x14ac:dyDescent="0.25">
      <c r="A48" s="77" t="s">
        <v>352</v>
      </c>
      <c r="B48" s="87" t="s">
        <v>86</v>
      </c>
      <c r="C48" s="3">
        <v>2007</v>
      </c>
      <c r="D48" s="1">
        <f>R48+E48+F48</f>
        <v>0</v>
      </c>
      <c r="E48" s="233"/>
      <c r="F48" s="219"/>
      <c r="G48" s="154"/>
      <c r="H48" s="219"/>
      <c r="I48" s="205"/>
      <c r="J48" s="196"/>
      <c r="K48" s="186"/>
      <c r="L48" s="170"/>
      <c r="M48" s="50"/>
      <c r="N48" s="50"/>
      <c r="O48" s="219">
        <f>AA48</f>
        <v>0</v>
      </c>
      <c r="P48" s="120"/>
      <c r="Q48" s="96">
        <f>I48+J48+K48+L48+M48+N48+O48</f>
        <v>0</v>
      </c>
      <c r="R48" s="97">
        <f>IF(C48=2008, Q48/3,Q48)+P48</f>
        <v>0</v>
      </c>
      <c r="S48" s="22"/>
      <c r="T48" s="50"/>
      <c r="U48" s="50"/>
      <c r="V48" s="50"/>
      <c r="W48" s="50"/>
      <c r="X48" s="50">
        <f>AL48</f>
        <v>0</v>
      </c>
      <c r="Y48" s="120"/>
      <c r="Z48" s="96">
        <f>SUM(T48:X48)</f>
        <v>0</v>
      </c>
      <c r="AA48" s="97">
        <f>IF(C48=2007, Z48/3,Z48)+Y48</f>
        <v>0</v>
      </c>
      <c r="AB48" s="22"/>
      <c r="AC48" s="13"/>
      <c r="AD48" s="13"/>
      <c r="AE48" s="13"/>
      <c r="AF48" s="13">
        <f>0</f>
        <v>0</v>
      </c>
      <c r="AG48" s="13"/>
      <c r="AH48" s="13"/>
      <c r="AI48" s="13"/>
      <c r="AJ48" s="95"/>
      <c r="AK48" s="96">
        <f>SUM(AC48:AI48)</f>
        <v>0</v>
      </c>
      <c r="AL48" s="97">
        <f>IF(C48=2010, AK48/3,AK48)+AJ48</f>
        <v>0</v>
      </c>
    </row>
    <row r="49" spans="1:57" s="3" customFormat="1" x14ac:dyDescent="0.25">
      <c r="A49" s="60" t="s">
        <v>219</v>
      </c>
      <c r="B49" s="65" t="s">
        <v>87</v>
      </c>
      <c r="C49" s="62">
        <v>2001</v>
      </c>
      <c r="D49" s="1">
        <f>R49+E49+F49</f>
        <v>3</v>
      </c>
      <c r="E49" s="156"/>
      <c r="F49" s="156"/>
      <c r="G49" s="122"/>
      <c r="H49" s="156"/>
      <c r="I49" s="205"/>
      <c r="J49" s="196"/>
      <c r="K49" s="186"/>
      <c r="L49" s="170"/>
      <c r="M49" s="50"/>
      <c r="N49" s="50"/>
      <c r="O49" s="219">
        <f>AA49</f>
        <v>3</v>
      </c>
      <c r="P49" s="120"/>
      <c r="Q49" s="96">
        <f>I49+J49+K49+L49+M49+N49+O49</f>
        <v>3</v>
      </c>
      <c r="R49" s="97">
        <f>IF(C49=2008, Q49/3,Q49)+P49</f>
        <v>3</v>
      </c>
      <c r="S49" s="22"/>
      <c r="T49" s="50"/>
      <c r="U49" s="50"/>
      <c r="V49" s="50"/>
      <c r="W49" s="50"/>
      <c r="X49" s="50">
        <f>AL49</f>
        <v>3</v>
      </c>
      <c r="Y49" s="120"/>
      <c r="Z49" s="96">
        <f>SUM(T49:X49)</f>
        <v>3</v>
      </c>
      <c r="AA49" s="97">
        <f>IF(C49=2007, Z49/3,Z49)+Y49</f>
        <v>3</v>
      </c>
      <c r="AB49" s="22"/>
      <c r="AC49" s="26"/>
      <c r="AD49" s="26">
        <f>3</f>
        <v>3</v>
      </c>
      <c r="AE49" s="26"/>
      <c r="AF49" s="26"/>
      <c r="AG49" s="26"/>
      <c r="AH49" s="26"/>
      <c r="AI49" s="26"/>
      <c r="AJ49" s="95"/>
      <c r="AK49" s="96">
        <f>SUM(AC49:AI49)</f>
        <v>3</v>
      </c>
      <c r="AL49" s="97">
        <f>IF(C49=2006, AK49/3,AK49)+AJ49</f>
        <v>3</v>
      </c>
    </row>
    <row r="50" spans="1:57" s="52" customFormat="1" x14ac:dyDescent="0.25">
      <c r="A50" s="126" t="s">
        <v>226</v>
      </c>
      <c r="B50" s="65" t="s">
        <v>87</v>
      </c>
      <c r="C50" s="62">
        <v>2008</v>
      </c>
      <c r="D50" s="1">
        <f>R50+E50+F50</f>
        <v>2</v>
      </c>
      <c r="E50" s="108"/>
      <c r="F50" s="108"/>
      <c r="G50" s="122"/>
      <c r="H50" s="108"/>
      <c r="I50" s="205"/>
      <c r="J50" s="196"/>
      <c r="K50" s="186"/>
      <c r="L50" s="170"/>
      <c r="M50" s="50"/>
      <c r="N50" s="50"/>
      <c r="O50" s="219">
        <f>AA50</f>
        <v>6</v>
      </c>
      <c r="P50" s="120"/>
      <c r="Q50" s="96">
        <f>I50+J50+K50+L50+M50+N50+O50</f>
        <v>6</v>
      </c>
      <c r="R50" s="97">
        <f>IF(C50=2008, Q50/3,Q50)+P50</f>
        <v>2</v>
      </c>
      <c r="S50" s="22"/>
      <c r="T50" s="50"/>
      <c r="U50" s="50"/>
      <c r="V50" s="50"/>
      <c r="W50" s="50"/>
      <c r="X50" s="50">
        <f>AL50</f>
        <v>6</v>
      </c>
      <c r="Y50" s="120"/>
      <c r="Z50" s="96">
        <f>SUM(T50:X50)</f>
        <v>6</v>
      </c>
      <c r="AA50" s="97">
        <f>IF(C50=2011, Z50/3,Z50)+Y50</f>
        <v>6</v>
      </c>
      <c r="AB50" s="22"/>
      <c r="AC50" s="13"/>
      <c r="AD50" s="13">
        <f>6</f>
        <v>6</v>
      </c>
      <c r="AE50" s="13"/>
      <c r="AF50" s="13"/>
      <c r="AG50" s="13"/>
      <c r="AH50" s="13"/>
      <c r="AI50" s="13"/>
      <c r="AJ50" s="95"/>
      <c r="AK50" s="96">
        <f>SUM(AC50:AI50)</f>
        <v>6</v>
      </c>
      <c r="AL50" s="97">
        <f>IF(C50=2010, AK50/3,AK50)+AJ50</f>
        <v>6</v>
      </c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s="3" customFormat="1" x14ac:dyDescent="0.25">
      <c r="A51" s="71" t="s">
        <v>289</v>
      </c>
      <c r="B51" s="65" t="s">
        <v>232</v>
      </c>
      <c r="C51" s="62">
        <v>2005</v>
      </c>
      <c r="D51" s="1">
        <f>R51+E51+F51</f>
        <v>0</v>
      </c>
      <c r="E51" s="233"/>
      <c r="F51" s="219"/>
      <c r="G51" s="154"/>
      <c r="H51" s="219"/>
      <c r="I51" s="205"/>
      <c r="J51" s="196"/>
      <c r="K51" s="186"/>
      <c r="L51" s="170"/>
      <c r="M51" s="50"/>
      <c r="N51" s="50"/>
      <c r="O51" s="219">
        <f>AA51</f>
        <v>0</v>
      </c>
      <c r="P51" s="120"/>
      <c r="Q51" s="96">
        <f>I51+J51+K51+L51+M51+N51+O51</f>
        <v>0</v>
      </c>
      <c r="R51" s="97">
        <f>IF(C51=2008, Q51/3,Q51)+P51</f>
        <v>0</v>
      </c>
      <c r="S51" s="22"/>
      <c r="T51" s="50"/>
      <c r="U51" s="50"/>
      <c r="V51" s="50"/>
      <c r="W51" s="50"/>
      <c r="X51" s="50">
        <f>AL51</f>
        <v>0</v>
      </c>
      <c r="Y51" s="120"/>
      <c r="Z51" s="96">
        <f>SUM(T51:X51)</f>
        <v>0</v>
      </c>
      <c r="AA51" s="97">
        <f>IF(C51=2007, Z51/3,Z51)+Y51</f>
        <v>0</v>
      </c>
      <c r="AB51" s="22"/>
      <c r="AC51" s="26"/>
      <c r="AD51" s="26"/>
      <c r="AE51" s="26">
        <f>0</f>
        <v>0</v>
      </c>
      <c r="AF51" s="26"/>
      <c r="AG51" s="26"/>
      <c r="AH51" s="26"/>
      <c r="AI51" s="26"/>
      <c r="AJ51" s="95"/>
      <c r="AK51" s="96">
        <f>SUM(AC51:AI51)</f>
        <v>0</v>
      </c>
      <c r="AL51" s="97">
        <f>IF(C51=2006, AK51/3,AK51)+AJ51</f>
        <v>0</v>
      </c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spans="1:57" x14ac:dyDescent="0.25">
      <c r="A52" s="60" t="s">
        <v>864</v>
      </c>
      <c r="B52" s="65" t="s">
        <v>63</v>
      </c>
      <c r="C52" s="62">
        <v>2007</v>
      </c>
      <c r="D52" s="1">
        <f>R52+E52+F52</f>
        <v>0</v>
      </c>
      <c r="E52" s="108"/>
      <c r="F52" s="108"/>
      <c r="G52" s="122"/>
      <c r="H52" s="108"/>
      <c r="I52" s="205"/>
      <c r="J52" s="196"/>
      <c r="K52" s="186"/>
      <c r="L52" s="170"/>
      <c r="M52" s="50">
        <v>0</v>
      </c>
      <c r="N52" s="50"/>
      <c r="O52" s="219">
        <f>AA52</f>
        <v>0</v>
      </c>
      <c r="P52" s="120"/>
      <c r="Q52" s="96">
        <f>I52+J52+K52+L52+M52+N52+O52</f>
        <v>0</v>
      </c>
      <c r="R52" s="97">
        <f>IF(C52=2008, Q52/3,Q52)+P52</f>
        <v>0</v>
      </c>
      <c r="S52" s="22"/>
      <c r="T52" s="50"/>
      <c r="U52" s="50"/>
      <c r="V52" s="50"/>
      <c r="W52" s="50"/>
      <c r="X52" s="50"/>
      <c r="Y52" s="120"/>
      <c r="Z52" s="96"/>
      <c r="AA52" s="97"/>
      <c r="AB52" s="22"/>
      <c r="AC52" s="13"/>
      <c r="AD52" s="13"/>
      <c r="AE52" s="13"/>
      <c r="AF52" s="13"/>
      <c r="AG52" s="13"/>
      <c r="AH52" s="13"/>
      <c r="AI52" s="13"/>
      <c r="AJ52" s="95"/>
      <c r="AK52" s="96"/>
      <c r="AL52" s="9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</row>
    <row r="53" spans="1:57" s="3" customFormat="1" x14ac:dyDescent="0.25">
      <c r="A53" s="60" t="s">
        <v>188</v>
      </c>
      <c r="B53" s="85" t="s">
        <v>64</v>
      </c>
      <c r="C53" s="62">
        <v>2006</v>
      </c>
      <c r="D53" s="1">
        <f>R53+E53+F53</f>
        <v>31</v>
      </c>
      <c r="E53" s="233"/>
      <c r="F53" s="219"/>
      <c r="G53" s="120"/>
      <c r="H53" s="219"/>
      <c r="I53" s="205"/>
      <c r="J53" s="196"/>
      <c r="K53" s="186"/>
      <c r="L53" s="170"/>
      <c r="M53" s="50"/>
      <c r="N53" s="50"/>
      <c r="O53" s="219">
        <f>AA53</f>
        <v>31</v>
      </c>
      <c r="P53" s="120"/>
      <c r="Q53" s="96">
        <f>I53+J53+K53+L53+M53+N53+O53</f>
        <v>31</v>
      </c>
      <c r="R53" s="97">
        <f>IF(C53=2008, Q53/3,Q53)+P53</f>
        <v>31</v>
      </c>
      <c r="S53" s="22"/>
      <c r="T53" s="50"/>
      <c r="U53" s="50"/>
      <c r="V53" s="50"/>
      <c r="W53" s="50">
        <f>15</f>
        <v>15</v>
      </c>
      <c r="X53" s="50">
        <f>AL53</f>
        <v>16</v>
      </c>
      <c r="Y53" s="120"/>
      <c r="Z53" s="96">
        <f>SUM(T53:X53)</f>
        <v>31</v>
      </c>
      <c r="AA53" s="97">
        <f>IF(C53=2007, Z53/3,Z53)+Y53</f>
        <v>31</v>
      </c>
      <c r="AB53" s="22"/>
      <c r="AC53" s="13"/>
      <c r="AD53" s="13">
        <v>48</v>
      </c>
      <c r="AE53" s="13"/>
      <c r="AF53" s="13"/>
      <c r="AG53" s="13"/>
      <c r="AH53" s="13"/>
      <c r="AI53" s="13"/>
      <c r="AJ53" s="95"/>
      <c r="AK53" s="96">
        <f>SUM(AC53:AI53)</f>
        <v>48</v>
      </c>
      <c r="AL53" s="97">
        <f>IF(C53=2006, AK53/3,AK53)+AJ53</f>
        <v>16</v>
      </c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spans="1:57" x14ac:dyDescent="0.25">
      <c r="A54" s="60" t="s">
        <v>195</v>
      </c>
      <c r="B54" s="65" t="s">
        <v>87</v>
      </c>
      <c r="C54" s="62">
        <v>2007</v>
      </c>
      <c r="D54" s="1">
        <f>R54+E54+F54</f>
        <v>3</v>
      </c>
      <c r="G54" s="120"/>
      <c r="I54" s="205"/>
      <c r="J54" s="196"/>
      <c r="K54" s="186"/>
      <c r="L54" s="170"/>
      <c r="M54" s="50"/>
      <c r="N54" s="50"/>
      <c r="O54" s="219">
        <f>AA54</f>
        <v>3</v>
      </c>
      <c r="P54" s="120"/>
      <c r="Q54" s="96">
        <f>I54+J54+K54+L54+M54+N54+O54</f>
        <v>3</v>
      </c>
      <c r="R54" s="97">
        <f>IF(C54=2008, Q54/3,Q54)+P54</f>
        <v>3</v>
      </c>
      <c r="S54" s="22"/>
      <c r="T54" s="50"/>
      <c r="U54" s="50"/>
      <c r="V54" s="50"/>
      <c r="W54" s="50"/>
      <c r="X54" s="50">
        <f>AL54</f>
        <v>9</v>
      </c>
      <c r="Y54" s="120"/>
      <c r="Z54" s="96">
        <f>SUM(T54:X54)</f>
        <v>9</v>
      </c>
      <c r="AA54" s="97">
        <f>IF(C54=2007, Z54/3,Z54)+Y54</f>
        <v>3</v>
      </c>
      <c r="AB54" s="22"/>
      <c r="AC54" s="13"/>
      <c r="AD54" s="13">
        <f>9</f>
        <v>9</v>
      </c>
      <c r="AE54" s="13"/>
      <c r="AF54" s="13"/>
      <c r="AG54" s="13"/>
      <c r="AH54" s="13"/>
      <c r="AI54" s="13"/>
      <c r="AJ54" s="95"/>
      <c r="AK54" s="96">
        <f>SUM(AC54:AI54)</f>
        <v>9</v>
      </c>
      <c r="AL54" s="97">
        <f>IF(C54=2010, AK54/3,AK54)+AJ54</f>
        <v>9</v>
      </c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</row>
    <row r="55" spans="1:57" x14ac:dyDescent="0.25">
      <c r="A55" s="60" t="s">
        <v>659</v>
      </c>
      <c r="B55" s="65" t="s">
        <v>7</v>
      </c>
      <c r="C55" s="62">
        <v>2008</v>
      </c>
      <c r="D55" s="1">
        <f>R55+E55+F55</f>
        <v>12.333333333333334</v>
      </c>
      <c r="G55" s="120"/>
      <c r="I55" s="205"/>
      <c r="J55" s="196"/>
      <c r="K55" s="186"/>
      <c r="L55" s="170"/>
      <c r="M55" s="50"/>
      <c r="N55" s="50"/>
      <c r="O55" s="219">
        <f>AA55</f>
        <v>37</v>
      </c>
      <c r="P55" s="120"/>
      <c r="Q55" s="96">
        <f>I55+J55+K55+L55+M55+N55+O55</f>
        <v>37</v>
      </c>
      <c r="R55" s="97">
        <f>IF(C55=2008, Q55/3,Q55)+P55</f>
        <v>12.333333333333334</v>
      </c>
      <c r="S55" s="22"/>
      <c r="T55" s="50"/>
      <c r="U55" s="50"/>
      <c r="V55" s="50">
        <f>0</f>
        <v>0</v>
      </c>
      <c r="W55" s="50"/>
      <c r="X55" s="50">
        <f>37</f>
        <v>37</v>
      </c>
      <c r="Y55" s="120"/>
      <c r="Z55" s="96">
        <f>SUM(T55:X55)</f>
        <v>37</v>
      </c>
      <c r="AA55" s="97">
        <f>IF(C55=2011, Z55/3,Z55)+Y55</f>
        <v>37</v>
      </c>
      <c r="AB55" s="22"/>
      <c r="AC55" s="13"/>
      <c r="AD55" s="13"/>
      <c r="AE55" s="13"/>
      <c r="AF55" s="13"/>
      <c r="AG55" s="13"/>
      <c r="AH55" s="13"/>
      <c r="AI55" s="13"/>
      <c r="AJ55" s="95"/>
      <c r="AK55" s="96"/>
      <c r="AL55" s="97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s="3" customFormat="1" x14ac:dyDescent="0.25">
      <c r="A56" s="60" t="s">
        <v>211</v>
      </c>
      <c r="B56" s="65" t="s">
        <v>86</v>
      </c>
      <c r="C56" s="62">
        <v>2005</v>
      </c>
      <c r="D56" s="1">
        <f>R56+E56+F56</f>
        <v>5</v>
      </c>
      <c r="E56" s="233"/>
      <c r="F56" s="219"/>
      <c r="G56" s="154"/>
      <c r="H56" s="219"/>
      <c r="I56" s="205"/>
      <c r="J56" s="196"/>
      <c r="K56" s="186"/>
      <c r="L56" s="170"/>
      <c r="M56" s="50"/>
      <c r="N56" s="50"/>
      <c r="O56" s="219">
        <f>AA56</f>
        <v>5</v>
      </c>
      <c r="P56" s="120"/>
      <c r="Q56" s="96">
        <f>I56+J56+K56+L56+M56+N56+O56</f>
        <v>5</v>
      </c>
      <c r="R56" s="97">
        <f>IF(C56=2008, Q56/3,Q56)+P56</f>
        <v>5</v>
      </c>
      <c r="S56" s="22"/>
      <c r="T56" s="50"/>
      <c r="U56" s="50"/>
      <c r="V56" s="50"/>
      <c r="W56" s="50"/>
      <c r="X56" s="50">
        <f>AL56</f>
        <v>5</v>
      </c>
      <c r="Y56" s="120"/>
      <c r="Z56" s="96">
        <f>SUM(T56:X56)</f>
        <v>5</v>
      </c>
      <c r="AA56" s="97">
        <f>IF(C56=2007, Z56/3,Z56)+Y56</f>
        <v>5</v>
      </c>
      <c r="AB56" s="22"/>
      <c r="AC56" s="26"/>
      <c r="AD56" s="26">
        <v>3</v>
      </c>
      <c r="AE56" s="26"/>
      <c r="AF56" s="26">
        <f>2</f>
        <v>2</v>
      </c>
      <c r="AG56" s="26"/>
      <c r="AH56" s="26"/>
      <c r="AI56" s="26"/>
      <c r="AJ56" s="95"/>
      <c r="AK56" s="96">
        <f>SUM(AC56:AI56)</f>
        <v>5</v>
      </c>
      <c r="AL56" s="97">
        <f>IF(C56=2006, AK56/3,AK56)+AJ56</f>
        <v>5</v>
      </c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</row>
    <row r="57" spans="1:57" s="3" customFormat="1" x14ac:dyDescent="0.25">
      <c r="A57" s="77" t="s">
        <v>668</v>
      </c>
      <c r="B57" s="87" t="s">
        <v>64</v>
      </c>
      <c r="C57" s="3">
        <v>2008</v>
      </c>
      <c r="D57" s="1">
        <f>R57+E57+F57</f>
        <v>15</v>
      </c>
      <c r="E57" s="233"/>
      <c r="F57" s="219"/>
      <c r="G57" s="154"/>
      <c r="H57" s="219"/>
      <c r="I57" s="205"/>
      <c r="J57" s="196"/>
      <c r="K57" s="186"/>
      <c r="L57" s="170"/>
      <c r="M57" s="50">
        <f>0</f>
        <v>0</v>
      </c>
      <c r="N57" s="50">
        <f>0</f>
        <v>0</v>
      </c>
      <c r="O57" s="219">
        <f>AA57</f>
        <v>39</v>
      </c>
      <c r="P57" s="120">
        <f>2</f>
        <v>2</v>
      </c>
      <c r="Q57" s="96">
        <f>I57+J57+K57+L57+M57+N57+O57</f>
        <v>39</v>
      </c>
      <c r="R57" s="97">
        <f>IF(C57=2008, Q57/3,Q57)+P57</f>
        <v>15</v>
      </c>
      <c r="S57" s="22"/>
      <c r="T57" s="50"/>
      <c r="U57" s="50"/>
      <c r="V57" s="50">
        <f>39</f>
        <v>39</v>
      </c>
      <c r="W57" s="50"/>
      <c r="X57" s="50"/>
      <c r="Y57" s="120"/>
      <c r="Z57" s="96">
        <f>SUM(T57:X57)</f>
        <v>39</v>
      </c>
      <c r="AA57" s="97">
        <f>IF(C57=2011, Z57/3,Z57)+Y57</f>
        <v>39</v>
      </c>
      <c r="AB57" s="22"/>
      <c r="AC57" s="13"/>
      <c r="AD57" s="13"/>
      <c r="AE57" s="13"/>
      <c r="AF57" s="13"/>
      <c r="AG57" s="13"/>
      <c r="AH57" s="13"/>
      <c r="AI57" s="13"/>
      <c r="AJ57" s="95"/>
      <c r="AK57" s="96"/>
      <c r="AL57" s="97"/>
    </row>
    <row r="58" spans="1:57" s="52" customFormat="1" x14ac:dyDescent="0.25">
      <c r="A58" s="60" t="s">
        <v>189</v>
      </c>
      <c r="B58" s="65" t="s">
        <v>86</v>
      </c>
      <c r="C58" s="62">
        <v>2006</v>
      </c>
      <c r="D58" s="1">
        <f>R58+E58+F58</f>
        <v>36</v>
      </c>
      <c r="E58" s="233"/>
      <c r="F58" s="219"/>
      <c r="G58" s="120"/>
      <c r="H58" s="219"/>
      <c r="I58" s="205"/>
      <c r="J58" s="196"/>
      <c r="K58" s="186"/>
      <c r="L58" s="170"/>
      <c r="M58" s="50"/>
      <c r="N58" s="50"/>
      <c r="O58" s="219">
        <f>AA58</f>
        <v>36</v>
      </c>
      <c r="P58" s="120"/>
      <c r="Q58" s="96">
        <f>I58+J58+K58+L58+M58+N58+O58</f>
        <v>36</v>
      </c>
      <c r="R58" s="97">
        <f>IF(C58=2008, Q58/3,Q58)+P58</f>
        <v>36</v>
      </c>
      <c r="S58" s="22"/>
      <c r="T58" s="50"/>
      <c r="U58" s="50"/>
      <c r="V58" s="50"/>
      <c r="W58" s="50"/>
      <c r="X58" s="50">
        <f>AL58</f>
        <v>36</v>
      </c>
      <c r="Y58" s="120"/>
      <c r="Z58" s="96">
        <f>SUM(T58:X58)</f>
        <v>36</v>
      </c>
      <c r="AA58" s="97">
        <f>IF(C58=2007, Z58/3,Z58)+Y58</f>
        <v>36</v>
      </c>
      <c r="AB58" s="22"/>
      <c r="AC58" s="13"/>
      <c r="AD58" s="13">
        <f>45+24</f>
        <v>69</v>
      </c>
      <c r="AE58" s="13"/>
      <c r="AF58" s="13">
        <f>39</f>
        <v>39</v>
      </c>
      <c r="AG58" s="13"/>
      <c r="AH58" s="13"/>
      <c r="AI58" s="13"/>
      <c r="AJ58" s="95"/>
      <c r="AK58" s="96">
        <f>SUM(AC58:AI58)</f>
        <v>108</v>
      </c>
      <c r="AL58" s="97">
        <f>IF(C58=2006, AK58/3,AK58)+AJ58</f>
        <v>36</v>
      </c>
    </row>
    <row r="59" spans="1:57" s="3" customFormat="1" x14ac:dyDescent="0.25">
      <c r="A59" s="60" t="s">
        <v>510</v>
      </c>
      <c r="B59" s="65" t="s">
        <v>479</v>
      </c>
      <c r="C59" s="62">
        <v>2007</v>
      </c>
      <c r="D59" s="1">
        <f>R59+E59+F59</f>
        <v>0</v>
      </c>
      <c r="E59" s="233"/>
      <c r="F59" s="219"/>
      <c r="G59" s="154"/>
      <c r="H59" s="219"/>
      <c r="I59" s="205"/>
      <c r="J59" s="196"/>
      <c r="K59" s="186"/>
      <c r="L59" s="170"/>
      <c r="M59" s="50"/>
      <c r="N59" s="50"/>
      <c r="O59" s="219">
        <f>AA59</f>
        <v>0</v>
      </c>
      <c r="P59" s="120"/>
      <c r="Q59" s="96">
        <f>I59+J59+K59+L59+M59+N59+O59</f>
        <v>0</v>
      </c>
      <c r="R59" s="97">
        <f>IF(C59=2008, Q59/3,Q59)+P59</f>
        <v>0</v>
      </c>
      <c r="S59" s="22"/>
      <c r="T59" s="50"/>
      <c r="U59" s="50"/>
      <c r="V59" s="50"/>
      <c r="W59" s="50"/>
      <c r="X59" s="50">
        <f>AL59</f>
        <v>0</v>
      </c>
      <c r="Y59" s="120"/>
      <c r="Z59" s="96">
        <f>SUM(T59:X59)</f>
        <v>0</v>
      </c>
      <c r="AA59" s="97">
        <f>IF(C59=2007, Z59/3,Z59)+Y59</f>
        <v>0</v>
      </c>
      <c r="AB59" s="22"/>
      <c r="AC59" s="13"/>
      <c r="AD59" s="13"/>
      <c r="AE59" s="13"/>
      <c r="AF59" s="13"/>
      <c r="AG59" s="13"/>
      <c r="AH59" s="13">
        <f>0</f>
        <v>0</v>
      </c>
      <c r="AI59" s="13"/>
      <c r="AJ59" s="95"/>
      <c r="AK59" s="96">
        <f>SUM(AC59:AI59)</f>
        <v>0</v>
      </c>
      <c r="AL59" s="97">
        <f>IF(C59=2010, AK59/3,AK59)+AJ59</f>
        <v>0</v>
      </c>
    </row>
    <row r="60" spans="1:57" s="3" customFormat="1" x14ac:dyDescent="0.25">
      <c r="A60" s="60" t="s">
        <v>746</v>
      </c>
      <c r="B60" s="65" t="s">
        <v>232</v>
      </c>
      <c r="C60" s="62">
        <v>2008</v>
      </c>
      <c r="D60" s="1">
        <f>R60+E60+F60</f>
        <v>2.3333333333333335</v>
      </c>
      <c r="E60" s="233"/>
      <c r="F60" s="219"/>
      <c r="G60" s="120"/>
      <c r="H60" s="219"/>
      <c r="I60" s="205"/>
      <c r="J60" s="196"/>
      <c r="K60" s="186"/>
      <c r="L60" s="170"/>
      <c r="M60" s="50"/>
      <c r="N60" s="50"/>
      <c r="O60" s="219">
        <f>AA60</f>
        <v>7</v>
      </c>
      <c r="P60" s="120"/>
      <c r="Q60" s="96">
        <f>I60+J60+K60+L60+M60+N60+O60</f>
        <v>7</v>
      </c>
      <c r="R60" s="97">
        <f>IF(C60=2008, Q60/3,Q60)+P60</f>
        <v>2.3333333333333335</v>
      </c>
      <c r="S60" s="22"/>
      <c r="T60" s="50">
        <f>7</f>
        <v>7</v>
      </c>
      <c r="U60" s="50"/>
      <c r="V60" s="50"/>
      <c r="W60" s="50"/>
      <c r="X60" s="50"/>
      <c r="Y60" s="120"/>
      <c r="Z60" s="96">
        <f>SUM(T60:X60)</f>
        <v>7</v>
      </c>
      <c r="AA60" s="97">
        <f>IF(C60=2011, Z60/3,Z60)+Y60</f>
        <v>7</v>
      </c>
      <c r="AB60" s="22"/>
      <c r="AC60" s="13"/>
      <c r="AD60" s="13"/>
      <c r="AE60" s="13"/>
      <c r="AF60" s="13"/>
      <c r="AG60" s="13"/>
      <c r="AH60" s="13"/>
      <c r="AI60" s="13"/>
      <c r="AJ60" s="95"/>
      <c r="AK60" s="96"/>
      <c r="AL60" s="97"/>
    </row>
    <row r="61" spans="1:57" x14ac:dyDescent="0.25">
      <c r="A61" s="60" t="s">
        <v>758</v>
      </c>
      <c r="B61" s="65" t="s">
        <v>232</v>
      </c>
      <c r="C61" s="62">
        <v>2006</v>
      </c>
      <c r="D61" s="1">
        <f>R61+E61+F61</f>
        <v>4</v>
      </c>
      <c r="E61" s="108"/>
      <c r="F61" s="108"/>
      <c r="G61" s="122"/>
      <c r="H61" s="108"/>
      <c r="I61" s="205"/>
      <c r="J61" s="196"/>
      <c r="K61" s="186"/>
      <c r="L61" s="170"/>
      <c r="M61" s="50"/>
      <c r="N61" s="50">
        <f>4</f>
        <v>4</v>
      </c>
      <c r="O61" s="219">
        <f>AA61</f>
        <v>0</v>
      </c>
      <c r="P61" s="120"/>
      <c r="Q61" s="96">
        <f>I61+J61+K61+L61+M61+N61+O61</f>
        <v>4</v>
      </c>
      <c r="R61" s="97">
        <f>IF(C61=2008, Q61/3,Q61)+P61</f>
        <v>4</v>
      </c>
      <c r="S61" s="22"/>
      <c r="T61" s="50">
        <f>0</f>
        <v>0</v>
      </c>
      <c r="U61" s="50"/>
      <c r="V61" s="50"/>
      <c r="W61" s="50"/>
      <c r="X61" s="50"/>
      <c r="Y61" s="120"/>
      <c r="Z61" s="96">
        <f>SUM(T61:X61)</f>
        <v>0</v>
      </c>
      <c r="AA61" s="97">
        <f>IF(C61=2007, Z61/3,Z61)+Y61</f>
        <v>0</v>
      </c>
      <c r="AB61" s="22"/>
      <c r="AC61" s="221"/>
      <c r="AD61" s="221"/>
      <c r="AE61" s="221"/>
      <c r="AF61" s="221"/>
      <c r="AG61" s="221"/>
      <c r="AH61" s="221"/>
      <c r="AI61" s="221"/>
      <c r="AJ61" s="95"/>
      <c r="AK61" s="96"/>
      <c r="AL61" s="9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</row>
    <row r="62" spans="1:57" s="3" customFormat="1" x14ac:dyDescent="0.25">
      <c r="A62" s="60" t="s">
        <v>454</v>
      </c>
      <c r="B62" s="65" t="s">
        <v>36</v>
      </c>
      <c r="C62" s="62">
        <v>2006</v>
      </c>
      <c r="D62" s="1">
        <f>R62+E62+F62</f>
        <v>113</v>
      </c>
      <c r="E62" s="156"/>
      <c r="F62" s="156"/>
      <c r="G62" s="122"/>
      <c r="H62" s="156"/>
      <c r="I62" s="205"/>
      <c r="J62" s="196"/>
      <c r="K62" s="186"/>
      <c r="L62" s="170">
        <f>0+6</f>
        <v>6</v>
      </c>
      <c r="M62" s="50">
        <f>15+12</f>
        <v>27</v>
      </c>
      <c r="N62" s="50"/>
      <c r="O62" s="219">
        <f>AA62</f>
        <v>80</v>
      </c>
      <c r="P62" s="120"/>
      <c r="Q62" s="96">
        <f>I62+J62+K62+L62+M62+N62+O62</f>
        <v>113</v>
      </c>
      <c r="R62" s="97">
        <f>IF(C62=2008, Q62/3,Q62)+P62</f>
        <v>113</v>
      </c>
      <c r="S62" s="22"/>
      <c r="T62" s="50">
        <f>0</f>
        <v>0</v>
      </c>
      <c r="U62" s="50"/>
      <c r="V62" s="50">
        <f>18</f>
        <v>18</v>
      </c>
      <c r="W62" s="50"/>
      <c r="X62" s="50">
        <f>AL62</f>
        <v>62</v>
      </c>
      <c r="Y62" s="120"/>
      <c r="Z62" s="96">
        <f>SUM(T62:X62)</f>
        <v>80</v>
      </c>
      <c r="AA62" s="97">
        <f>IF(C62=2007, Z62/3,Z62)+Y62</f>
        <v>80</v>
      </c>
      <c r="AB62" s="22"/>
      <c r="AC62" s="13"/>
      <c r="AD62" s="13"/>
      <c r="AE62" s="13"/>
      <c r="AF62" s="13"/>
      <c r="AG62" s="13">
        <f>6</f>
        <v>6</v>
      </c>
      <c r="AH62" s="13">
        <f>16</f>
        <v>16</v>
      </c>
      <c r="AI62" s="13">
        <f>40</f>
        <v>40</v>
      </c>
      <c r="AJ62" s="95"/>
      <c r="AK62" s="96">
        <f>SUM(AC62:AI62)</f>
        <v>62</v>
      </c>
      <c r="AL62" s="97">
        <f>IF(C62=2010, AK62/3,AK62)+AJ62</f>
        <v>62</v>
      </c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spans="1:57" x14ac:dyDescent="0.25">
      <c r="A63" s="60" t="s">
        <v>184</v>
      </c>
      <c r="B63" s="65" t="s">
        <v>87</v>
      </c>
      <c r="C63" s="62">
        <v>2008</v>
      </c>
      <c r="D63" s="1">
        <f>R63+E63+F63</f>
        <v>2</v>
      </c>
      <c r="G63" s="120"/>
      <c r="I63" s="205"/>
      <c r="J63" s="196"/>
      <c r="K63" s="186"/>
      <c r="L63" s="170"/>
      <c r="M63" s="50"/>
      <c r="N63" s="50"/>
      <c r="O63" s="219">
        <f>AA63</f>
        <v>6</v>
      </c>
      <c r="P63" s="120"/>
      <c r="Q63" s="96">
        <f>I63+J63+K63+L63+M63+N63+O63</f>
        <v>6</v>
      </c>
      <c r="R63" s="97">
        <f>IF(C63=2008, Q63/3,Q63)+P63</f>
        <v>2</v>
      </c>
      <c r="S63" s="22"/>
      <c r="T63" s="50"/>
      <c r="U63" s="50"/>
      <c r="V63" s="50"/>
      <c r="W63" s="50"/>
      <c r="X63" s="50">
        <f>AL63</f>
        <v>6</v>
      </c>
      <c r="Y63" s="120"/>
      <c r="Z63" s="96">
        <f>SUM(T63:X63)</f>
        <v>6</v>
      </c>
      <c r="AA63" s="97">
        <f>IF(C63=2011, Z63/3,Z63)+Y63</f>
        <v>6</v>
      </c>
      <c r="AB63" s="22"/>
      <c r="AC63" s="13"/>
      <c r="AD63" s="13">
        <f>6</f>
        <v>6</v>
      </c>
      <c r="AE63" s="13"/>
      <c r="AF63" s="13"/>
      <c r="AG63" s="13"/>
      <c r="AH63" s="13"/>
      <c r="AI63" s="13"/>
      <c r="AJ63" s="95"/>
      <c r="AK63" s="96">
        <f>SUM(AC63:AI63)</f>
        <v>6</v>
      </c>
      <c r="AL63" s="97">
        <f>IF(C63=2010, AK63/3,AK63)+AJ63</f>
        <v>6</v>
      </c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</row>
    <row r="64" spans="1:57" s="3" customFormat="1" x14ac:dyDescent="0.25">
      <c r="A64" s="60" t="s">
        <v>210</v>
      </c>
      <c r="B64" s="65" t="s">
        <v>111</v>
      </c>
      <c r="C64" s="62">
        <v>2005</v>
      </c>
      <c r="D64" s="1">
        <f>R64+E64+F64</f>
        <v>11</v>
      </c>
      <c r="E64" s="233"/>
      <c r="F64" s="219"/>
      <c r="G64" s="120"/>
      <c r="H64" s="219"/>
      <c r="I64" s="205"/>
      <c r="J64" s="196"/>
      <c r="K64" s="170"/>
      <c r="L64" s="150"/>
      <c r="M64" s="50"/>
      <c r="N64" s="50"/>
      <c r="O64" s="219">
        <f>AA64</f>
        <v>11</v>
      </c>
      <c r="P64" s="120"/>
      <c r="Q64" s="96">
        <f>I64+J64+K64+L64+M64+N64+O64</f>
        <v>11</v>
      </c>
      <c r="R64" s="97">
        <f>IF(C64=2008, Q64/3,Q64)+P64</f>
        <v>11</v>
      </c>
      <c r="S64" s="22"/>
      <c r="T64" s="50"/>
      <c r="U64" s="50"/>
      <c r="V64" s="50"/>
      <c r="W64" s="50"/>
      <c r="X64" s="50">
        <f>AL64</f>
        <v>11</v>
      </c>
      <c r="Y64" s="120"/>
      <c r="Z64" s="96">
        <f>SUM(T64:X64)</f>
        <v>11</v>
      </c>
      <c r="AA64" s="97">
        <f>IF(C64=2007, Z64/3,Z64)+Y64</f>
        <v>11</v>
      </c>
      <c r="AB64" s="22"/>
      <c r="AC64" s="26"/>
      <c r="AD64" s="26">
        <v>4</v>
      </c>
      <c r="AE64" s="26"/>
      <c r="AF64" s="26">
        <f>5+2</f>
        <v>7</v>
      </c>
      <c r="AG64" s="26"/>
      <c r="AH64" s="26"/>
      <c r="AI64" s="26"/>
      <c r="AJ64" s="95"/>
      <c r="AK64" s="96">
        <f>SUM(AC64:AI64)</f>
        <v>11</v>
      </c>
      <c r="AL64" s="97">
        <f>IF(C64=2006, AK64/3,AK64)+AJ64</f>
        <v>11</v>
      </c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spans="1:57" s="3" customFormat="1" x14ac:dyDescent="0.25">
      <c r="A65" s="60" t="s">
        <v>455</v>
      </c>
      <c r="B65" s="65" t="s">
        <v>36</v>
      </c>
      <c r="C65" s="62">
        <v>2007</v>
      </c>
      <c r="D65" s="1">
        <f>R65+E65+F65</f>
        <v>24</v>
      </c>
      <c r="E65" s="156"/>
      <c r="F65" s="156"/>
      <c r="G65" s="154"/>
      <c r="H65" s="156"/>
      <c r="I65" s="205"/>
      <c r="J65" s="196"/>
      <c r="K65" s="186"/>
      <c r="L65" s="219"/>
      <c r="M65" s="50"/>
      <c r="N65" s="50"/>
      <c r="O65" s="219">
        <f>AA65</f>
        <v>24</v>
      </c>
      <c r="P65" s="120"/>
      <c r="Q65" s="96">
        <f>I65+J65+K65+L65+M65+N65+O65</f>
        <v>24</v>
      </c>
      <c r="R65" s="97">
        <f>IF(C65=2008, Q65/3,Q65)+P65</f>
        <v>24</v>
      </c>
      <c r="S65" s="22"/>
      <c r="T65" s="50"/>
      <c r="U65" s="50"/>
      <c r="V65" s="50">
        <f>4</f>
        <v>4</v>
      </c>
      <c r="W65" s="50">
        <f>10</f>
        <v>10</v>
      </c>
      <c r="X65" s="50">
        <f>AL65</f>
        <v>58</v>
      </c>
      <c r="Y65" s="120"/>
      <c r="Z65" s="96">
        <f>SUM(T65:X65)</f>
        <v>72</v>
      </c>
      <c r="AA65" s="97">
        <f>IF(C65=2007, Z65/3,Z65)+Y65</f>
        <v>24</v>
      </c>
      <c r="AB65" s="22"/>
      <c r="AC65" s="13"/>
      <c r="AD65" s="13"/>
      <c r="AE65" s="13"/>
      <c r="AF65" s="13"/>
      <c r="AG65" s="13">
        <f>4</f>
        <v>4</v>
      </c>
      <c r="AH65" s="13">
        <f>6+4</f>
        <v>10</v>
      </c>
      <c r="AI65" s="13">
        <f>44</f>
        <v>44</v>
      </c>
      <c r="AJ65" s="95"/>
      <c r="AK65" s="96">
        <f>SUM(AC65:AI65)</f>
        <v>58</v>
      </c>
      <c r="AL65" s="97">
        <f>IF(C65=2010, AK65/3,AK65)+AJ65</f>
        <v>58</v>
      </c>
    </row>
    <row r="66" spans="1:57" s="3" customFormat="1" x14ac:dyDescent="0.25">
      <c r="A66" s="71" t="s">
        <v>635</v>
      </c>
      <c r="B66" s="65" t="s">
        <v>64</v>
      </c>
      <c r="C66" s="62">
        <v>2006</v>
      </c>
      <c r="D66" s="1">
        <f>R66+E66+F66</f>
        <v>75</v>
      </c>
      <c r="E66" s="156"/>
      <c r="F66" s="156"/>
      <c r="G66" s="154"/>
      <c r="H66" s="156"/>
      <c r="I66" s="205"/>
      <c r="J66" s="196">
        <f>6</f>
        <v>6</v>
      </c>
      <c r="K66" s="186"/>
      <c r="L66" s="170"/>
      <c r="M66" s="50">
        <f>33</f>
        <v>33</v>
      </c>
      <c r="N66" s="50">
        <f>18</f>
        <v>18</v>
      </c>
      <c r="O66" s="219">
        <f>AA66</f>
        <v>18</v>
      </c>
      <c r="P66" s="120"/>
      <c r="Q66" s="96">
        <f>I66+J66+K66+L66+M66+N66+O66</f>
        <v>75</v>
      </c>
      <c r="R66" s="97">
        <f>IF(C66=2008, Q66/3,Q66)+P66</f>
        <v>75</v>
      </c>
      <c r="S66" s="22"/>
      <c r="T66" s="50"/>
      <c r="U66" s="50"/>
      <c r="V66" s="50">
        <f>18</f>
        <v>18</v>
      </c>
      <c r="W66" s="50"/>
      <c r="X66" s="50"/>
      <c r="Y66" s="120"/>
      <c r="Z66" s="96">
        <f>SUM(T66:X66)</f>
        <v>18</v>
      </c>
      <c r="AA66" s="97">
        <f>IF(C66=2007, Z66/3,Z66)+Y66</f>
        <v>18</v>
      </c>
      <c r="AB66" s="22"/>
      <c r="AC66" s="26"/>
      <c r="AD66" s="26"/>
      <c r="AE66" s="26"/>
      <c r="AF66" s="26"/>
      <c r="AG66" s="26"/>
      <c r="AH66" s="26"/>
      <c r="AI66" s="26"/>
      <c r="AJ66" s="95"/>
      <c r="AK66" s="96"/>
      <c r="AL66" s="97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1:57" s="3" customFormat="1" x14ac:dyDescent="0.25">
      <c r="A67" s="60" t="s">
        <v>271</v>
      </c>
      <c r="B67" s="65" t="s">
        <v>36</v>
      </c>
      <c r="C67" s="62">
        <v>2008</v>
      </c>
      <c r="D67" s="1">
        <f>R67+E67+F67</f>
        <v>16</v>
      </c>
      <c r="E67" s="233"/>
      <c r="F67" s="219"/>
      <c r="G67" s="120"/>
      <c r="H67" s="219"/>
      <c r="I67" s="205"/>
      <c r="J67" s="196"/>
      <c r="K67" s="186"/>
      <c r="L67" s="170"/>
      <c r="M67" s="50"/>
      <c r="N67" s="50"/>
      <c r="O67" s="219">
        <f>AA67</f>
        <v>48</v>
      </c>
      <c r="P67" s="120"/>
      <c r="Q67" s="96">
        <f>I67+J67+K67+L67+M67+N67+O67</f>
        <v>48</v>
      </c>
      <c r="R67" s="97">
        <f>IF(C67=2008, Q67/3,Q67)+P67</f>
        <v>16</v>
      </c>
      <c r="S67" s="22"/>
      <c r="T67" s="50"/>
      <c r="U67" s="50"/>
      <c r="V67" s="50"/>
      <c r="W67" s="50"/>
      <c r="X67" s="50">
        <f>AL67</f>
        <v>48</v>
      </c>
      <c r="Y67" s="120"/>
      <c r="Z67" s="96">
        <f>SUM(T67:X67)</f>
        <v>48</v>
      </c>
      <c r="AA67" s="97">
        <f>IF(C67=2011, Z67/3,Z67)+Y67</f>
        <v>48</v>
      </c>
      <c r="AB67" s="22"/>
      <c r="AC67" s="13"/>
      <c r="AD67" s="13"/>
      <c r="AE67" s="13">
        <f>3+3</f>
        <v>6</v>
      </c>
      <c r="AF67" s="13">
        <f>24+18</f>
        <v>42</v>
      </c>
      <c r="AG67" s="13"/>
      <c r="AH67" s="13"/>
      <c r="AI67" s="13"/>
      <c r="AJ67" s="95"/>
      <c r="AK67" s="96">
        <f>SUM(AC67:AI67)</f>
        <v>48</v>
      </c>
      <c r="AL67" s="97">
        <f>IF(C67=2010, AK67/3,AK67)+AJ67</f>
        <v>48</v>
      </c>
    </row>
    <row r="68" spans="1:57" s="3" customFormat="1" x14ac:dyDescent="0.25">
      <c r="A68" s="11" t="s">
        <v>276</v>
      </c>
      <c r="B68" s="19" t="s">
        <v>0</v>
      </c>
      <c r="C68" s="3">
        <v>2008</v>
      </c>
      <c r="D68" s="1">
        <f>R68+E68+F68</f>
        <v>165.33333333333334</v>
      </c>
      <c r="E68" s="233"/>
      <c r="F68" s="219"/>
      <c r="G68" s="120"/>
      <c r="H68" s="219"/>
      <c r="I68" s="205"/>
      <c r="J68" s="196"/>
      <c r="K68" s="186"/>
      <c r="L68" s="170">
        <f>6</f>
        <v>6</v>
      </c>
      <c r="M68" s="50"/>
      <c r="N68" s="50"/>
      <c r="O68" s="219">
        <f>AA68</f>
        <v>472</v>
      </c>
      <c r="P68" s="120">
        <f>3+3</f>
        <v>6</v>
      </c>
      <c r="Q68" s="96">
        <f>I68+J68+K68+L68+M68+N68+O68</f>
        <v>478</v>
      </c>
      <c r="R68" s="97">
        <f>IF(C68=2008, Q68/3,Q68)+P68</f>
        <v>165.33333333333334</v>
      </c>
      <c r="S68" s="22"/>
      <c r="T68" s="50">
        <f>0</f>
        <v>0</v>
      </c>
      <c r="U68" s="50"/>
      <c r="V68" s="50">
        <f>162</f>
        <v>162</v>
      </c>
      <c r="W68" s="50"/>
      <c r="X68" s="50">
        <f>AL68</f>
        <v>310</v>
      </c>
      <c r="Y68" s="120"/>
      <c r="Z68" s="96">
        <f>SUM(T68:X68)</f>
        <v>472</v>
      </c>
      <c r="AA68" s="97">
        <f>IF(C68=2011, Z68/3,Z68)+Y68</f>
        <v>472</v>
      </c>
      <c r="AB68" s="22"/>
      <c r="AC68" s="13"/>
      <c r="AD68" s="13"/>
      <c r="AE68" s="13">
        <f>21</f>
        <v>21</v>
      </c>
      <c r="AF68" s="13"/>
      <c r="AG68" s="13">
        <f>6+6</f>
        <v>12</v>
      </c>
      <c r="AH68" s="13">
        <f>51+3</f>
        <v>54</v>
      </c>
      <c r="AI68" s="13">
        <f>223</f>
        <v>223</v>
      </c>
      <c r="AJ68" s="95"/>
      <c r="AK68" s="96">
        <f>SUM(AC68:AI68)</f>
        <v>310</v>
      </c>
      <c r="AL68" s="97">
        <f>IF(C68=2010, AK68/3,AK68)+AJ68</f>
        <v>310</v>
      </c>
    </row>
    <row r="69" spans="1:57" s="3" customFormat="1" x14ac:dyDescent="0.25">
      <c r="A69" s="60" t="s">
        <v>585</v>
      </c>
      <c r="B69" s="65" t="s">
        <v>7</v>
      </c>
      <c r="C69" s="62">
        <v>1996</v>
      </c>
      <c r="D69" s="1">
        <f>R69+E69+F69</f>
        <v>90</v>
      </c>
      <c r="E69" s="156"/>
      <c r="F69" s="156"/>
      <c r="G69" s="122"/>
      <c r="H69" s="156"/>
      <c r="I69" s="205"/>
      <c r="J69" s="196"/>
      <c r="K69" s="186"/>
      <c r="L69" s="170"/>
      <c r="M69" s="50"/>
      <c r="N69" s="50"/>
      <c r="O69" s="219">
        <f>AA69</f>
        <v>90</v>
      </c>
      <c r="P69" s="120"/>
      <c r="Q69" s="96">
        <f>I69+J69+K69+L69+M69+N69+O69</f>
        <v>90</v>
      </c>
      <c r="R69" s="97">
        <f>IF(C69=2008, Q69/3,Q69)+P69</f>
        <v>90</v>
      </c>
      <c r="S69" s="22"/>
      <c r="T69" s="50"/>
      <c r="U69" s="50">
        <f>18</f>
        <v>18</v>
      </c>
      <c r="V69" s="50">
        <f>42</f>
        <v>42</v>
      </c>
      <c r="W69" s="50">
        <f>30</f>
        <v>30</v>
      </c>
      <c r="X69" s="50"/>
      <c r="Y69" s="120"/>
      <c r="Z69" s="96">
        <f>SUM(T69:X69)</f>
        <v>90</v>
      </c>
      <c r="AA69" s="97">
        <f>IF(C69=2007, Z69/3,Z69)+Y69</f>
        <v>90</v>
      </c>
      <c r="AB69" s="22"/>
      <c r="AC69" s="26"/>
      <c r="AD69" s="26"/>
      <c r="AE69" s="26"/>
      <c r="AF69" s="26"/>
      <c r="AG69" s="26"/>
      <c r="AH69" s="26"/>
      <c r="AI69" s="26"/>
      <c r="AJ69" s="95"/>
      <c r="AK69" s="96"/>
      <c r="AL69" s="97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1:57" s="3" customFormat="1" x14ac:dyDescent="0.25">
      <c r="A70" s="60" t="s">
        <v>666</v>
      </c>
      <c r="B70" s="65" t="s">
        <v>602</v>
      </c>
      <c r="C70" s="62">
        <v>2008</v>
      </c>
      <c r="D70" s="1">
        <f>R70+E70+F70</f>
        <v>91.333333333333329</v>
      </c>
      <c r="E70" s="233"/>
      <c r="F70" s="219"/>
      <c r="G70" s="120"/>
      <c r="H70" s="219"/>
      <c r="I70" s="205"/>
      <c r="J70" s="196"/>
      <c r="K70" s="186"/>
      <c r="L70" s="170"/>
      <c r="M70" s="50"/>
      <c r="N70" s="50"/>
      <c r="O70" s="219">
        <f>AA70</f>
        <v>274</v>
      </c>
      <c r="P70" s="120"/>
      <c r="Q70" s="96">
        <f>I70+J70+K70+L70+M70+N70+O70</f>
        <v>274</v>
      </c>
      <c r="R70" s="97">
        <f>IF(C70=2008, Q70/3,Q70)+P70</f>
        <v>91.333333333333329</v>
      </c>
      <c r="S70" s="22"/>
      <c r="T70" s="50"/>
      <c r="U70" s="50"/>
      <c r="V70" s="50">
        <f>90+69</f>
        <v>159</v>
      </c>
      <c r="W70" s="50"/>
      <c r="X70" s="50">
        <v>115</v>
      </c>
      <c r="Y70" s="120"/>
      <c r="Z70" s="96">
        <f>SUM(T70:X70)</f>
        <v>274</v>
      </c>
      <c r="AA70" s="97">
        <f>IF(C70=2011, Z70/3,Z70)+Y70</f>
        <v>274</v>
      </c>
      <c r="AB70" s="22"/>
      <c r="AC70" s="13"/>
      <c r="AD70" s="13"/>
      <c r="AE70" s="13"/>
      <c r="AF70" s="13"/>
      <c r="AG70" s="13"/>
      <c r="AH70" s="13"/>
      <c r="AI70" s="13"/>
      <c r="AJ70" s="95"/>
      <c r="AK70" s="96"/>
      <c r="AL70" s="97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</row>
    <row r="71" spans="1:57" s="3" customFormat="1" ht="14.25" customHeight="1" x14ac:dyDescent="0.25">
      <c r="A71" s="11" t="s">
        <v>283</v>
      </c>
      <c r="B71" s="19" t="s">
        <v>232</v>
      </c>
      <c r="C71" s="3">
        <v>2007</v>
      </c>
      <c r="D71" s="1">
        <f>R71+E71+F71</f>
        <v>199</v>
      </c>
      <c r="E71" s="233"/>
      <c r="F71" s="219"/>
      <c r="G71" s="120"/>
      <c r="H71" s="219"/>
      <c r="I71" s="205"/>
      <c r="J71" s="196"/>
      <c r="K71" s="186"/>
      <c r="L71" s="170"/>
      <c r="M71" s="50"/>
      <c r="N71" s="50">
        <f>27</f>
        <v>27</v>
      </c>
      <c r="O71" s="219">
        <f>AA71</f>
        <v>172</v>
      </c>
      <c r="P71" s="120"/>
      <c r="Q71" s="96">
        <f>I71+J71+K71+L71+M71+N71+O71</f>
        <v>199</v>
      </c>
      <c r="R71" s="97">
        <f>IF(C71=2008, Q71/3,Q71)+P71</f>
        <v>199</v>
      </c>
      <c r="S71" s="22"/>
      <c r="T71" s="50">
        <f>6</f>
        <v>6</v>
      </c>
      <c r="U71" s="50">
        <f>18</f>
        <v>18</v>
      </c>
      <c r="V71" s="50">
        <f>267</f>
        <v>267</v>
      </c>
      <c r="W71" s="50">
        <f>18</f>
        <v>18</v>
      </c>
      <c r="X71" s="50">
        <f>AL71</f>
        <v>207</v>
      </c>
      <c r="Y71" s="120"/>
      <c r="Z71" s="96">
        <f>SUM(T71:X71)</f>
        <v>516</v>
      </c>
      <c r="AA71" s="97">
        <f>IF(C71=2007, Z71/3,Z71)+Y71</f>
        <v>172</v>
      </c>
      <c r="AB71" s="22"/>
      <c r="AC71" s="13"/>
      <c r="AD71" s="13"/>
      <c r="AE71" s="13">
        <f>15</f>
        <v>15</v>
      </c>
      <c r="AF71" s="13">
        <f>48</f>
        <v>48</v>
      </c>
      <c r="AG71" s="13"/>
      <c r="AH71" s="13">
        <f>24</f>
        <v>24</v>
      </c>
      <c r="AI71" s="13">
        <f>120</f>
        <v>120</v>
      </c>
      <c r="AJ71" s="95"/>
      <c r="AK71" s="96">
        <f>SUM(AC71:AI71)</f>
        <v>207</v>
      </c>
      <c r="AL71" s="97">
        <f>IF(C71=2010, AK71/3,AK71)+AJ71</f>
        <v>207</v>
      </c>
    </row>
    <row r="72" spans="1:57" x14ac:dyDescent="0.25">
      <c r="A72" s="60" t="s">
        <v>165</v>
      </c>
      <c r="B72" s="65" t="s">
        <v>111</v>
      </c>
      <c r="C72" s="62">
        <v>2008</v>
      </c>
      <c r="D72" s="1">
        <f>R72+E72+F72</f>
        <v>43</v>
      </c>
      <c r="E72" s="156"/>
      <c r="F72" s="156"/>
      <c r="G72" s="154"/>
      <c r="H72" s="156"/>
      <c r="I72" s="205"/>
      <c r="J72" s="196"/>
      <c r="K72" s="186"/>
      <c r="L72" s="170"/>
      <c r="M72" s="50"/>
      <c r="N72" s="50"/>
      <c r="O72" s="219">
        <f>AA72</f>
        <v>129</v>
      </c>
      <c r="P72" s="120"/>
      <c r="Q72" s="96">
        <f>I72+J72+K72+L72+M72+N72+O72</f>
        <v>129</v>
      </c>
      <c r="R72" s="97">
        <f>IF(C72=2008, Q72/3,Q72)+P72</f>
        <v>43</v>
      </c>
      <c r="S72" s="22"/>
      <c r="T72" s="50"/>
      <c r="U72" s="50">
        <f>22+21</f>
        <v>43</v>
      </c>
      <c r="V72" s="50">
        <f>36</f>
        <v>36</v>
      </c>
      <c r="W72" s="50"/>
      <c r="X72" s="50">
        <f>AL72</f>
        <v>50</v>
      </c>
      <c r="Y72" s="120"/>
      <c r="Z72" s="96">
        <f>SUM(T72:X72)</f>
        <v>129</v>
      </c>
      <c r="AA72" s="97">
        <f>IF(C72=2011, Z72/3,Z72)+Y72</f>
        <v>129</v>
      </c>
      <c r="AB72" s="22"/>
      <c r="AC72" s="13"/>
      <c r="AD72" s="13">
        <f>15+1</f>
        <v>16</v>
      </c>
      <c r="AE72" s="13"/>
      <c r="AF72" s="13">
        <f>17+5</f>
        <v>22</v>
      </c>
      <c r="AG72" s="13">
        <f>9+3</f>
        <v>12</v>
      </c>
      <c r="AH72" s="13"/>
      <c r="AI72" s="13"/>
      <c r="AJ72" s="95"/>
      <c r="AK72" s="96">
        <f>SUM(AC72:AI72)</f>
        <v>50</v>
      </c>
      <c r="AL72" s="97">
        <f>IF(C72=2010, AK72/3,AK72)+AJ72</f>
        <v>50</v>
      </c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s="3" customFormat="1" x14ac:dyDescent="0.25">
      <c r="A73" s="60" t="s">
        <v>347</v>
      </c>
      <c r="B73" s="65" t="s">
        <v>111</v>
      </c>
      <c r="C73" s="62">
        <v>2007</v>
      </c>
      <c r="D73" s="1">
        <f>R73+E73+F73</f>
        <v>4</v>
      </c>
      <c r="E73" s="233"/>
      <c r="F73" s="219"/>
      <c r="G73" s="120"/>
      <c r="H73" s="219"/>
      <c r="I73" s="205"/>
      <c r="J73" s="196"/>
      <c r="K73" s="186"/>
      <c r="L73" s="170"/>
      <c r="M73" s="50"/>
      <c r="N73" s="50"/>
      <c r="O73" s="219">
        <f>AA73</f>
        <v>4</v>
      </c>
      <c r="P73" s="120"/>
      <c r="Q73" s="96">
        <f>I73+J73+K73+L73+M73+N73+O73</f>
        <v>4</v>
      </c>
      <c r="R73" s="97">
        <f>IF(C73=2008, Q73/3,Q73)+P73</f>
        <v>4</v>
      </c>
      <c r="S73" s="22"/>
      <c r="T73" s="50"/>
      <c r="U73" s="50"/>
      <c r="V73" s="50"/>
      <c r="W73" s="50"/>
      <c r="X73" s="50">
        <f>AL73</f>
        <v>12</v>
      </c>
      <c r="Y73" s="120"/>
      <c r="Z73" s="96">
        <f>SUM(T73:X73)</f>
        <v>12</v>
      </c>
      <c r="AA73" s="97">
        <f>IF(C73=2007, Z73/3,Z73)+Y73</f>
        <v>4</v>
      </c>
      <c r="AB73" s="22"/>
      <c r="AC73" s="13"/>
      <c r="AD73" s="13"/>
      <c r="AE73" s="13"/>
      <c r="AF73" s="13">
        <f>12</f>
        <v>12</v>
      </c>
      <c r="AG73" s="13"/>
      <c r="AH73" s="13"/>
      <c r="AI73" s="13"/>
      <c r="AJ73" s="95"/>
      <c r="AK73" s="96">
        <f>SUM(AC73:AI73)</f>
        <v>12</v>
      </c>
      <c r="AL73" s="97">
        <f>IF(C73=2010, AK73/3,AK73)+AJ73</f>
        <v>12</v>
      </c>
    </row>
    <row r="74" spans="1:57" s="3" customFormat="1" x14ac:dyDescent="0.25">
      <c r="A74" s="61" t="s">
        <v>681</v>
      </c>
      <c r="B74" s="85" t="s">
        <v>64</v>
      </c>
      <c r="C74" s="63">
        <v>2008</v>
      </c>
      <c r="D74" s="1">
        <f>R74+E74+F74</f>
        <v>4</v>
      </c>
      <c r="E74" s="156"/>
      <c r="F74" s="156"/>
      <c r="G74" s="154"/>
      <c r="H74" s="156"/>
      <c r="I74" s="205"/>
      <c r="J74" s="196"/>
      <c r="K74" s="186"/>
      <c r="L74" s="170"/>
      <c r="M74" s="50"/>
      <c r="N74" s="50"/>
      <c r="O74" s="219">
        <f>AA74</f>
        <v>12</v>
      </c>
      <c r="P74" s="120"/>
      <c r="Q74" s="96">
        <f>I74+J74+K74+L74+M74+N74+O74</f>
        <v>12</v>
      </c>
      <c r="R74" s="97">
        <f>IF(C74=2008, Q74/3,Q74)+P74</f>
        <v>4</v>
      </c>
      <c r="S74" s="22"/>
      <c r="T74" s="50"/>
      <c r="U74" s="50"/>
      <c r="V74" s="50"/>
      <c r="W74" s="50"/>
      <c r="X74" s="50">
        <f>AL74</f>
        <v>12</v>
      </c>
      <c r="Y74" s="120"/>
      <c r="Z74" s="96">
        <f>SUM(T74:X74)</f>
        <v>12</v>
      </c>
      <c r="AA74" s="97">
        <f>IF(C74=2011, Z74/3,Z74)+Y74</f>
        <v>12</v>
      </c>
      <c r="AB74" s="22"/>
      <c r="AC74" s="13"/>
      <c r="AD74" s="13">
        <v>4</v>
      </c>
      <c r="AE74" s="13"/>
      <c r="AF74" s="13"/>
      <c r="AG74" s="13"/>
      <c r="AH74" s="13"/>
      <c r="AI74" s="13">
        <f>8</f>
        <v>8</v>
      </c>
      <c r="AJ74" s="95"/>
      <c r="AK74" s="96">
        <f>SUM(AC74:AI74)</f>
        <v>12</v>
      </c>
      <c r="AL74" s="97">
        <f>IF(C74=2010, AK74/3,AK74)+AJ74</f>
        <v>12</v>
      </c>
    </row>
    <row r="75" spans="1:57" s="3" customFormat="1" x14ac:dyDescent="0.25">
      <c r="A75" s="60" t="s">
        <v>528</v>
      </c>
      <c r="B75" s="65" t="s">
        <v>7</v>
      </c>
      <c r="C75" s="62">
        <v>2008</v>
      </c>
      <c r="D75" s="1">
        <f>R75+E75+F75</f>
        <v>2.3333333333333335</v>
      </c>
      <c r="E75" s="108"/>
      <c r="F75" s="108"/>
      <c r="G75" s="122"/>
      <c r="H75" s="108"/>
      <c r="I75" s="205"/>
      <c r="J75" s="196"/>
      <c r="K75" s="186"/>
      <c r="L75" s="170"/>
      <c r="M75" s="50"/>
      <c r="N75" s="50"/>
      <c r="O75" s="219">
        <f>AA75</f>
        <v>7</v>
      </c>
      <c r="P75" s="120"/>
      <c r="Q75" s="96">
        <f>I75+J75+K75+L75+M75+N75+O75</f>
        <v>7</v>
      </c>
      <c r="R75" s="97">
        <f>IF(C75=2008, Q75/3,Q75)+P75</f>
        <v>2.3333333333333335</v>
      </c>
      <c r="S75" s="22"/>
      <c r="T75" s="50"/>
      <c r="U75" s="50">
        <f>5</f>
        <v>5</v>
      </c>
      <c r="V75" s="50"/>
      <c r="W75" s="50">
        <f>0</f>
        <v>0</v>
      </c>
      <c r="X75" s="50">
        <f>AL75</f>
        <v>2</v>
      </c>
      <c r="Y75" s="120"/>
      <c r="Z75" s="96">
        <f>SUM(T75:X75)</f>
        <v>7</v>
      </c>
      <c r="AA75" s="97">
        <f>IF(C75=2011, Z75/3,Z75)+Y75</f>
        <v>7</v>
      </c>
      <c r="AB75" s="22"/>
      <c r="AC75" s="13"/>
      <c r="AD75" s="13"/>
      <c r="AE75" s="13"/>
      <c r="AF75" s="13"/>
      <c r="AG75" s="13"/>
      <c r="AH75" s="13">
        <f>2</f>
        <v>2</v>
      </c>
      <c r="AI75" s="13"/>
      <c r="AJ75" s="95"/>
      <c r="AK75" s="96">
        <f>SUM(AC75:AI75)</f>
        <v>2</v>
      </c>
      <c r="AL75" s="97">
        <f>IF(C75=2010, AK75/3,AK75)+AJ75</f>
        <v>2</v>
      </c>
    </row>
    <row r="76" spans="1:57" s="3" customFormat="1" x14ac:dyDescent="0.25">
      <c r="A76" s="60" t="s">
        <v>576</v>
      </c>
      <c r="B76" s="65" t="s">
        <v>232</v>
      </c>
      <c r="C76" s="62">
        <v>2007</v>
      </c>
      <c r="D76" s="1">
        <f>R76+E76+F76</f>
        <v>19.333333333333332</v>
      </c>
      <c r="E76" s="233"/>
      <c r="F76" s="219"/>
      <c r="G76" s="154"/>
      <c r="H76" s="219"/>
      <c r="I76" s="205"/>
      <c r="J76" s="196"/>
      <c r="K76" s="186"/>
      <c r="L76" s="170"/>
      <c r="M76" s="50"/>
      <c r="N76" s="50">
        <f>2</f>
        <v>2</v>
      </c>
      <c r="O76" s="219">
        <f>AA76</f>
        <v>17.333333333333332</v>
      </c>
      <c r="P76" s="120"/>
      <c r="Q76" s="96">
        <f>I76+J76+K76+L76+M76+N76+O76</f>
        <v>19.333333333333332</v>
      </c>
      <c r="R76" s="97">
        <f>IF(C76=2008, Q76/3,Q76)+P76</f>
        <v>19.333333333333332</v>
      </c>
      <c r="S76" s="22"/>
      <c r="T76" s="50">
        <f>11</f>
        <v>11</v>
      </c>
      <c r="U76" s="50">
        <f>0</f>
        <v>0</v>
      </c>
      <c r="V76" s="50">
        <f>22</f>
        <v>22</v>
      </c>
      <c r="W76" s="50">
        <f>19</f>
        <v>19</v>
      </c>
      <c r="X76" s="50"/>
      <c r="Y76" s="120"/>
      <c r="Z76" s="96">
        <f>SUM(T76:X76)</f>
        <v>52</v>
      </c>
      <c r="AA76" s="97">
        <f>IF(C76=2007, Z76/3,Z76)+Y76</f>
        <v>17.333333333333332</v>
      </c>
      <c r="AB76" s="22"/>
      <c r="AC76" s="13"/>
      <c r="AD76" s="13"/>
      <c r="AE76" s="13"/>
      <c r="AF76" s="13"/>
      <c r="AG76" s="13"/>
      <c r="AH76" s="13"/>
      <c r="AI76" s="13"/>
      <c r="AJ76" s="95"/>
      <c r="AK76" s="96"/>
      <c r="AL76" s="97"/>
    </row>
    <row r="77" spans="1:57" x14ac:dyDescent="0.25">
      <c r="A77" s="51" t="s">
        <v>22</v>
      </c>
      <c r="B77" s="19" t="s">
        <v>36</v>
      </c>
      <c r="C77" s="52">
        <v>2008</v>
      </c>
      <c r="D77" s="1">
        <f>R77+E77+F77</f>
        <v>75.333333333333329</v>
      </c>
      <c r="E77" s="156"/>
      <c r="F77" s="156"/>
      <c r="G77" s="122"/>
      <c r="H77" s="156"/>
      <c r="I77" s="205"/>
      <c r="J77" s="196"/>
      <c r="K77" s="186"/>
      <c r="L77" s="170"/>
      <c r="M77" s="50"/>
      <c r="N77" s="50"/>
      <c r="O77" s="219">
        <f>AA77</f>
        <v>226</v>
      </c>
      <c r="P77" s="120"/>
      <c r="Q77" s="96">
        <f>I77+J77+K77+L77+M77+N77+O77</f>
        <v>226</v>
      </c>
      <c r="R77" s="97">
        <f>IF(C77=2008, Q77/3,Q77)+P77</f>
        <v>75.333333333333329</v>
      </c>
      <c r="S77" s="22"/>
      <c r="T77" s="50">
        <f>34</f>
        <v>34</v>
      </c>
      <c r="U77" s="50">
        <f>28</f>
        <v>28</v>
      </c>
      <c r="V77" s="50">
        <f>22</f>
        <v>22</v>
      </c>
      <c r="W77" s="50">
        <f>14</f>
        <v>14</v>
      </c>
      <c r="X77" s="50">
        <f>AL77</f>
        <v>128</v>
      </c>
      <c r="Y77" s="120"/>
      <c r="Z77" s="96">
        <f>SUM(T77:X77)</f>
        <v>226</v>
      </c>
      <c r="AA77" s="97">
        <f>IF(C77=2011, Z77/3,Z77)+Y77</f>
        <v>226</v>
      </c>
      <c r="AB77" s="22"/>
      <c r="AC77" s="219">
        <f>0</f>
        <v>0</v>
      </c>
      <c r="AD77" s="219"/>
      <c r="AE77" s="219">
        <f>15</f>
        <v>15</v>
      </c>
      <c r="AF77" s="219">
        <f>24</f>
        <v>24</v>
      </c>
      <c r="AG77" s="219">
        <f>12</f>
        <v>12</v>
      </c>
      <c r="AH77" s="219">
        <f>20+4</f>
        <v>24</v>
      </c>
      <c r="AI77" s="219">
        <v>53</v>
      </c>
      <c r="AJ77" s="95"/>
      <c r="AK77" s="96">
        <f>SUM(AC77:AI77)</f>
        <v>128</v>
      </c>
      <c r="AL77" s="97">
        <f>IF(C77=2010, AK77/3,AK77)+AJ77</f>
        <v>128</v>
      </c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</row>
    <row r="78" spans="1:57" s="3" customFormat="1" x14ac:dyDescent="0.25">
      <c r="A78" s="51" t="s">
        <v>759</v>
      </c>
      <c r="B78" s="19" t="s">
        <v>63</v>
      </c>
      <c r="C78" s="52">
        <v>2008</v>
      </c>
      <c r="D78" s="1">
        <f>R78+E78+F78</f>
        <v>67</v>
      </c>
      <c r="E78" s="233"/>
      <c r="F78" s="219"/>
      <c r="G78" s="120"/>
      <c r="H78" s="219"/>
      <c r="I78" s="205"/>
      <c r="J78" s="196"/>
      <c r="K78" s="186">
        <f>4</f>
        <v>4</v>
      </c>
      <c r="L78" s="170">
        <f>24+3+6</f>
        <v>33</v>
      </c>
      <c r="M78" s="50">
        <f>44+4+6</f>
        <v>54</v>
      </c>
      <c r="N78" s="50">
        <f>32+8+9</f>
        <v>49</v>
      </c>
      <c r="O78" s="219">
        <f>AA78</f>
        <v>61</v>
      </c>
      <c r="P78" s="120"/>
      <c r="Q78" s="96">
        <f>I78+J78+K78+L78+M78+N78+O78</f>
        <v>201</v>
      </c>
      <c r="R78" s="97">
        <f>IF(C78=2008, Q78/3,Q78)+P78</f>
        <v>67</v>
      </c>
      <c r="S78" s="22"/>
      <c r="T78" s="50"/>
      <c r="U78" s="50"/>
      <c r="V78" s="50"/>
      <c r="W78" s="50"/>
      <c r="X78" s="50">
        <f>61</f>
        <v>61</v>
      </c>
      <c r="Y78" s="120"/>
      <c r="Z78" s="96">
        <f>SUM(T78:X78)</f>
        <v>61</v>
      </c>
      <c r="AA78" s="97">
        <f>IF(C78=2011, Z78/3,Z78)+Y78</f>
        <v>61</v>
      </c>
      <c r="AB78" s="22"/>
      <c r="AC78" s="219"/>
      <c r="AD78" s="219"/>
      <c r="AE78" s="219"/>
      <c r="AF78" s="219"/>
      <c r="AG78" s="219"/>
      <c r="AH78" s="219"/>
      <c r="AI78" s="219"/>
      <c r="AJ78" s="95"/>
      <c r="AK78" s="96"/>
      <c r="AL78" s="97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</row>
    <row r="79" spans="1:57" x14ac:dyDescent="0.25">
      <c r="A79" s="60" t="s">
        <v>221</v>
      </c>
      <c r="B79" s="65" t="s">
        <v>86</v>
      </c>
      <c r="C79" s="62">
        <v>2005</v>
      </c>
      <c r="D79" s="1">
        <f>R79+E79+F79</f>
        <v>0</v>
      </c>
      <c r="G79" s="120"/>
      <c r="I79" s="205"/>
      <c r="J79" s="196"/>
      <c r="K79" s="186"/>
      <c r="L79" s="170"/>
      <c r="M79" s="50"/>
      <c r="N79" s="50"/>
      <c r="O79" s="219">
        <f>AA79</f>
        <v>0</v>
      </c>
      <c r="P79" s="120"/>
      <c r="Q79" s="96">
        <f>I79+J79+K79+L79+M79+N79+O79</f>
        <v>0</v>
      </c>
      <c r="R79" s="97">
        <f>IF(C79=2008, Q79/3,Q79)+P79</f>
        <v>0</v>
      </c>
      <c r="S79" s="22"/>
      <c r="T79" s="50"/>
      <c r="U79" s="50"/>
      <c r="V79" s="50"/>
      <c r="W79" s="50"/>
      <c r="X79" s="50">
        <f>AL79</f>
        <v>0</v>
      </c>
      <c r="Y79" s="120"/>
      <c r="Z79" s="96">
        <f>SUM(T79:X79)</f>
        <v>0</v>
      </c>
      <c r="AA79" s="97">
        <f>IF(C79=2007, Z79/3,Z79)+Y79</f>
        <v>0</v>
      </c>
      <c r="AB79" s="22"/>
      <c r="AD79" s="26">
        <v>0</v>
      </c>
      <c r="AJ79" s="95"/>
      <c r="AK79" s="96">
        <f>SUM(AC79:AI79)</f>
        <v>0</v>
      </c>
      <c r="AL79" s="97">
        <f>IF(C79=2006, AK79/3,AK79)+AJ79</f>
        <v>0</v>
      </c>
    </row>
    <row r="80" spans="1:57" s="3" customFormat="1" x14ac:dyDescent="0.25">
      <c r="A80" s="60" t="s">
        <v>197</v>
      </c>
      <c r="B80" s="65" t="s">
        <v>63</v>
      </c>
      <c r="C80" s="62">
        <v>2007</v>
      </c>
      <c r="D80" s="1">
        <f>R80+E80+F80</f>
        <v>111.33333333333333</v>
      </c>
      <c r="E80" s="156"/>
      <c r="F80" s="156"/>
      <c r="G80" s="154"/>
      <c r="H80" s="156"/>
      <c r="I80" s="205"/>
      <c r="J80" s="196"/>
      <c r="K80" s="186"/>
      <c r="L80" s="170">
        <f>9</f>
        <v>9</v>
      </c>
      <c r="M80" s="50">
        <f>6+9</f>
        <v>15</v>
      </c>
      <c r="N80" s="50"/>
      <c r="O80" s="219">
        <f>AA80</f>
        <v>87.333333333333329</v>
      </c>
      <c r="P80" s="120"/>
      <c r="Q80" s="96">
        <f>I80+J80+K80+L80+M80+N80+O80</f>
        <v>111.33333333333333</v>
      </c>
      <c r="R80" s="97">
        <f>IF(C80=2008, Q80/3,Q80)+P80</f>
        <v>111.33333333333333</v>
      </c>
      <c r="S80" s="22"/>
      <c r="T80" s="50"/>
      <c r="U80" s="50"/>
      <c r="V80" s="50">
        <f>39+45</f>
        <v>84</v>
      </c>
      <c r="W80" s="50">
        <f>6</f>
        <v>6</v>
      </c>
      <c r="X80" s="50">
        <f>AL80</f>
        <v>163</v>
      </c>
      <c r="Y80" s="120">
        <f>3</f>
        <v>3</v>
      </c>
      <c r="Z80" s="96">
        <f>SUM(T80:X80)</f>
        <v>253</v>
      </c>
      <c r="AA80" s="97">
        <f>IF(C80=2007, Z80/3,Z80)+Y80</f>
        <v>87.333333333333329</v>
      </c>
      <c r="AB80" s="22"/>
      <c r="AC80" s="13"/>
      <c r="AD80" s="13">
        <v>0</v>
      </c>
      <c r="AE80" s="13"/>
      <c r="AF80" s="13">
        <f>3</f>
        <v>3</v>
      </c>
      <c r="AG80" s="13">
        <f>8+3+6</f>
        <v>17</v>
      </c>
      <c r="AH80" s="13">
        <f>10+6</f>
        <v>16</v>
      </c>
      <c r="AI80" s="13">
        <v>121</v>
      </c>
      <c r="AJ80" s="95">
        <f>6</f>
        <v>6</v>
      </c>
      <c r="AK80" s="96">
        <f>SUM(AC80:AI80)</f>
        <v>157</v>
      </c>
      <c r="AL80" s="97">
        <f>IF(C80=2010, AK80/3,AK80)+AJ80</f>
        <v>163</v>
      </c>
    </row>
    <row r="81" spans="1:57" x14ac:dyDescent="0.25">
      <c r="A81" s="60" t="s">
        <v>501</v>
      </c>
      <c r="B81" s="65" t="s">
        <v>300</v>
      </c>
      <c r="C81" s="62">
        <v>2008</v>
      </c>
      <c r="D81" s="1">
        <f>R81+E81+F81</f>
        <v>1</v>
      </c>
      <c r="E81" s="156"/>
      <c r="F81" s="156"/>
      <c r="G81" s="154"/>
      <c r="H81" s="156"/>
      <c r="I81" s="205"/>
      <c r="J81" s="196"/>
      <c r="K81" s="186"/>
      <c r="L81" s="170"/>
      <c r="M81" s="50"/>
      <c r="N81" s="50"/>
      <c r="O81" s="219">
        <f>AA81</f>
        <v>3</v>
      </c>
      <c r="P81" s="120"/>
      <c r="Q81" s="96">
        <f>I81+J81+K81+L81+M81+N81+O81</f>
        <v>3</v>
      </c>
      <c r="R81" s="97">
        <f>IF(C81=2008, Q81/3,Q81)+P81</f>
        <v>1</v>
      </c>
      <c r="S81" s="22"/>
      <c r="T81" s="50"/>
      <c r="U81" s="50"/>
      <c r="V81" s="50"/>
      <c r="W81" s="50"/>
      <c r="X81" s="50">
        <f>AL81</f>
        <v>3</v>
      </c>
      <c r="Y81" s="120"/>
      <c r="Z81" s="96">
        <f>SUM(T81:X81)</f>
        <v>3</v>
      </c>
      <c r="AA81" s="97">
        <f>IF(C81=2011, Z81/3,Z81)+Y81</f>
        <v>3</v>
      </c>
      <c r="AB81" s="22"/>
      <c r="AC81" s="13"/>
      <c r="AD81" s="13"/>
      <c r="AE81" s="13"/>
      <c r="AF81" s="13"/>
      <c r="AG81" s="13"/>
      <c r="AH81" s="13">
        <f>3</f>
        <v>3</v>
      </c>
      <c r="AI81" s="13"/>
      <c r="AJ81" s="95"/>
      <c r="AK81" s="96">
        <f>SUM(AC81:AI81)</f>
        <v>3</v>
      </c>
      <c r="AL81" s="97">
        <f>IF(C81=2010, AK81/3,AK81)+AJ81</f>
        <v>3</v>
      </c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1:57" x14ac:dyDescent="0.25">
      <c r="A82" s="11" t="s">
        <v>286</v>
      </c>
      <c r="B82" s="19" t="s">
        <v>232</v>
      </c>
      <c r="C82" s="3">
        <v>2006</v>
      </c>
      <c r="D82" s="1">
        <f>R82+E82+F82</f>
        <v>10</v>
      </c>
      <c r="E82" s="108"/>
      <c r="F82" s="108"/>
      <c r="G82" s="122"/>
      <c r="H82" s="108"/>
      <c r="I82" s="205"/>
      <c r="J82" s="196"/>
      <c r="K82" s="186"/>
      <c r="L82" s="170"/>
      <c r="M82" s="50"/>
      <c r="N82" s="50"/>
      <c r="O82" s="219">
        <f>AA82</f>
        <v>10</v>
      </c>
      <c r="P82" s="120"/>
      <c r="Q82" s="96">
        <f>I82+J82+K82+L82+M82+N82+O82</f>
        <v>10</v>
      </c>
      <c r="R82" s="97">
        <f>IF(C82=2008, Q82/3,Q82)+P82</f>
        <v>10</v>
      </c>
      <c r="S82" s="22"/>
      <c r="T82" s="50"/>
      <c r="U82" s="50"/>
      <c r="V82" s="50"/>
      <c r="W82" s="50"/>
      <c r="X82" s="50">
        <f>AL82</f>
        <v>10</v>
      </c>
      <c r="Y82" s="120"/>
      <c r="Z82" s="96">
        <f>SUM(T82:X82)</f>
        <v>10</v>
      </c>
      <c r="AA82" s="97">
        <f>IF(C82=2007, Z82/3,Z82)+Y82</f>
        <v>10</v>
      </c>
      <c r="AB82" s="22"/>
      <c r="AC82" s="13"/>
      <c r="AD82" s="13"/>
      <c r="AE82" s="13">
        <f>6</f>
        <v>6</v>
      </c>
      <c r="AF82" s="13">
        <f>18</f>
        <v>18</v>
      </c>
      <c r="AG82" s="13"/>
      <c r="AH82" s="13"/>
      <c r="AI82" s="13">
        <f>6</f>
        <v>6</v>
      </c>
      <c r="AJ82" s="95"/>
      <c r="AK82" s="96">
        <f>SUM(AC82:AI82)</f>
        <v>30</v>
      </c>
      <c r="AL82" s="97">
        <f>IF(C82=2006, AK82/3,AK82)+AJ82</f>
        <v>10</v>
      </c>
    </row>
    <row r="83" spans="1:57" s="3" customFormat="1" x14ac:dyDescent="0.25">
      <c r="A83" s="60" t="s">
        <v>182</v>
      </c>
      <c r="B83" s="65" t="s">
        <v>63</v>
      </c>
      <c r="C83" s="62">
        <v>2008</v>
      </c>
      <c r="D83" s="1">
        <f>R83+E83+F83</f>
        <v>0</v>
      </c>
      <c r="E83" s="156"/>
      <c r="F83" s="156"/>
      <c r="G83" s="154"/>
      <c r="H83" s="156"/>
      <c r="I83" s="205"/>
      <c r="J83" s="196"/>
      <c r="K83" s="186"/>
      <c r="L83" s="170"/>
      <c r="M83" s="50"/>
      <c r="N83" s="50"/>
      <c r="O83" s="219">
        <f>AA83</f>
        <v>0</v>
      </c>
      <c r="P83" s="120"/>
      <c r="Q83" s="96">
        <f>I83+J83+K83+L83+M83+N83+O83</f>
        <v>0</v>
      </c>
      <c r="R83" s="97">
        <f>IF(C83=2008, Q83/3,Q83)+P83</f>
        <v>0</v>
      </c>
      <c r="S83" s="22"/>
      <c r="T83" s="50"/>
      <c r="U83" s="50"/>
      <c r="V83" s="50"/>
      <c r="W83" s="50"/>
      <c r="X83" s="50">
        <f>AL83</f>
        <v>0</v>
      </c>
      <c r="Y83" s="120"/>
      <c r="Z83" s="96">
        <f>SUM(T83:X83)</f>
        <v>0</v>
      </c>
      <c r="AA83" s="97">
        <f>IF(C83=2011, Z83/3,Z83)+Y83</f>
        <v>0</v>
      </c>
      <c r="AB83" s="22"/>
      <c r="AC83" s="13"/>
      <c r="AD83" s="13">
        <v>0</v>
      </c>
      <c r="AE83" s="13"/>
      <c r="AF83" s="13">
        <f>0</f>
        <v>0</v>
      </c>
      <c r="AG83" s="13"/>
      <c r="AH83" s="13"/>
      <c r="AI83" s="13"/>
      <c r="AJ83" s="95"/>
      <c r="AK83" s="96">
        <f>SUM(AC83:AI83)</f>
        <v>0</v>
      </c>
      <c r="AL83" s="97">
        <f>IF(C83=2010, AK83/3,AK83)+AJ83</f>
        <v>0</v>
      </c>
    </row>
    <row r="84" spans="1:57" s="3" customFormat="1" x14ac:dyDescent="0.25">
      <c r="A84" s="60" t="s">
        <v>504</v>
      </c>
      <c r="B84" s="65" t="s">
        <v>7</v>
      </c>
      <c r="C84" s="62">
        <v>2008</v>
      </c>
      <c r="D84" s="1">
        <f>R84+E84+F84</f>
        <v>12</v>
      </c>
      <c r="E84" s="156"/>
      <c r="F84" s="156"/>
      <c r="G84" s="154"/>
      <c r="H84" s="156"/>
      <c r="I84" s="205"/>
      <c r="J84" s="196"/>
      <c r="K84" s="186"/>
      <c r="L84" s="170"/>
      <c r="M84" s="50"/>
      <c r="N84" s="50"/>
      <c r="O84" s="219">
        <f>AA84</f>
        <v>36</v>
      </c>
      <c r="P84" s="120"/>
      <c r="Q84" s="96">
        <f>I84+J84+K84+L84+M84+N84+O84</f>
        <v>36</v>
      </c>
      <c r="R84" s="97">
        <f>IF(C84=2008, Q84/3,Q84)+P84</f>
        <v>12</v>
      </c>
      <c r="S84" s="22"/>
      <c r="T84" s="50"/>
      <c r="U84" s="50">
        <f>5</f>
        <v>5</v>
      </c>
      <c r="V84" s="50">
        <f>10</f>
        <v>10</v>
      </c>
      <c r="W84" s="50">
        <f>16</f>
        <v>16</v>
      </c>
      <c r="X84" s="50">
        <f>AL84</f>
        <v>5</v>
      </c>
      <c r="Y84" s="120"/>
      <c r="Z84" s="96">
        <f>SUM(T84:X84)</f>
        <v>36</v>
      </c>
      <c r="AA84" s="97">
        <f>IF(C84=2011, Z84/3,Z84)+Y84</f>
        <v>36</v>
      </c>
      <c r="AB84" s="22"/>
      <c r="AC84" s="13"/>
      <c r="AD84" s="13"/>
      <c r="AE84" s="13"/>
      <c r="AF84" s="13"/>
      <c r="AG84" s="13"/>
      <c r="AH84" s="13">
        <f>3+2</f>
        <v>5</v>
      </c>
      <c r="AI84" s="13"/>
      <c r="AJ84" s="95"/>
      <c r="AK84" s="96">
        <f>SUM(AC84:AI84)</f>
        <v>5</v>
      </c>
      <c r="AL84" s="97">
        <f>IF(C84=2010, AK84/3,AK84)+AJ84</f>
        <v>5</v>
      </c>
    </row>
    <row r="85" spans="1:57" s="3" customFormat="1" x14ac:dyDescent="0.25">
      <c r="A85" s="60" t="s">
        <v>216</v>
      </c>
      <c r="B85" s="65" t="s">
        <v>86</v>
      </c>
      <c r="C85" s="62">
        <v>1997</v>
      </c>
      <c r="D85" s="1">
        <f>R85+E85+F85</f>
        <v>30</v>
      </c>
      <c r="E85" s="233"/>
      <c r="F85" s="219"/>
      <c r="G85" s="120"/>
      <c r="H85" s="219"/>
      <c r="I85" s="205"/>
      <c r="J85" s="196"/>
      <c r="K85" s="186"/>
      <c r="L85" s="170"/>
      <c r="M85" s="50"/>
      <c r="N85" s="50"/>
      <c r="O85" s="219">
        <f>AA85</f>
        <v>30</v>
      </c>
      <c r="P85" s="120"/>
      <c r="Q85" s="96">
        <f>I85+J85+K85+L85+M85+N85+O85</f>
        <v>30</v>
      </c>
      <c r="R85" s="97">
        <f>IF(C85=2008, Q85/3,Q85)+P85</f>
        <v>30</v>
      </c>
      <c r="S85" s="22"/>
      <c r="T85" s="50"/>
      <c r="U85" s="50"/>
      <c r="V85" s="50"/>
      <c r="W85" s="50"/>
      <c r="X85" s="50">
        <f>AL85</f>
        <v>30</v>
      </c>
      <c r="Y85" s="120"/>
      <c r="Z85" s="96">
        <f>SUM(T85:X85)</f>
        <v>30</v>
      </c>
      <c r="AA85" s="97">
        <f>IF(C85=2007, Z85/3,Z85)+Y85</f>
        <v>30</v>
      </c>
      <c r="AB85" s="22"/>
      <c r="AC85" s="26"/>
      <c r="AD85" s="26">
        <f>9+21</f>
        <v>30</v>
      </c>
      <c r="AE85" s="26"/>
      <c r="AF85" s="26"/>
      <c r="AG85" s="26"/>
      <c r="AH85" s="26"/>
      <c r="AI85" s="26"/>
      <c r="AJ85" s="95"/>
      <c r="AK85" s="96">
        <f>SUM(AC85:AI85)</f>
        <v>30</v>
      </c>
      <c r="AL85" s="97">
        <f>IF(C85=2006, AK85/3,AK85)+AJ85</f>
        <v>30</v>
      </c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</row>
    <row r="86" spans="1:57" s="3" customFormat="1" x14ac:dyDescent="0.25">
      <c r="A86" s="60" t="s">
        <v>535</v>
      </c>
      <c r="B86" s="65" t="s">
        <v>532</v>
      </c>
      <c r="C86" s="62">
        <v>2003</v>
      </c>
      <c r="D86" s="1">
        <f>R86+E86+F86</f>
        <v>93</v>
      </c>
      <c r="E86" s="233"/>
      <c r="F86" s="219"/>
      <c r="G86" s="120"/>
      <c r="H86" s="219"/>
      <c r="I86" s="205"/>
      <c r="J86" s="196"/>
      <c r="K86" s="186"/>
      <c r="L86" s="170"/>
      <c r="M86" s="50"/>
      <c r="N86" s="50"/>
      <c r="O86" s="219">
        <f>AA86</f>
        <v>93</v>
      </c>
      <c r="P86" s="120"/>
      <c r="Q86" s="96">
        <f>I86+J86+K86+L86+M86+N86+O86</f>
        <v>93</v>
      </c>
      <c r="R86" s="97">
        <f>IF(C86=2008, Q86/3,Q86)+P86</f>
        <v>93</v>
      </c>
      <c r="S86" s="22"/>
      <c r="T86" s="50"/>
      <c r="U86" s="50"/>
      <c r="V86" s="50"/>
      <c r="W86" s="50"/>
      <c r="X86" s="50">
        <f>AL86</f>
        <v>93</v>
      </c>
      <c r="Y86" s="120"/>
      <c r="Z86" s="96">
        <f>SUM(T86:X86)</f>
        <v>93</v>
      </c>
      <c r="AA86" s="97">
        <f>IF(C86=2007, Z86/3,Z86)+Y86</f>
        <v>93</v>
      </c>
      <c r="AB86" s="22"/>
      <c r="AC86" s="26"/>
      <c r="AD86" s="26"/>
      <c r="AE86" s="26"/>
      <c r="AF86" s="26"/>
      <c r="AG86" s="26"/>
      <c r="AH86" s="26">
        <f>0</f>
        <v>0</v>
      </c>
      <c r="AI86" s="26">
        <f>93</f>
        <v>93</v>
      </c>
      <c r="AJ86" s="95"/>
      <c r="AK86" s="96">
        <f>SUM(AC86:AI86)</f>
        <v>93</v>
      </c>
      <c r="AL86" s="97">
        <f>IF(C86=2006, AK86/3,AK86)+AJ86</f>
        <v>93</v>
      </c>
    </row>
    <row r="87" spans="1:57" s="3" customFormat="1" x14ac:dyDescent="0.25">
      <c r="A87" s="60" t="s">
        <v>378</v>
      </c>
      <c r="B87" s="65" t="s">
        <v>86</v>
      </c>
      <c r="C87" s="62">
        <v>1994</v>
      </c>
      <c r="D87" s="1">
        <f>R87+E87+F87</f>
        <v>0</v>
      </c>
      <c r="E87" s="233"/>
      <c r="F87" s="219"/>
      <c r="G87" s="154"/>
      <c r="H87" s="219"/>
      <c r="I87" s="205"/>
      <c r="J87" s="196"/>
      <c r="K87" s="186"/>
      <c r="L87" s="170"/>
      <c r="M87" s="50"/>
      <c r="N87" s="50"/>
      <c r="O87" s="219">
        <f>AA87</f>
        <v>0</v>
      </c>
      <c r="P87" s="120"/>
      <c r="Q87" s="96">
        <f>I87+J87+K87+L87+M87+N87+O87</f>
        <v>0</v>
      </c>
      <c r="R87" s="97">
        <f>IF(C87=2008, Q87/3,Q87)+P87</f>
        <v>0</v>
      </c>
      <c r="S87" s="22"/>
      <c r="T87" s="50"/>
      <c r="U87" s="50"/>
      <c r="V87" s="50"/>
      <c r="W87" s="50"/>
      <c r="X87" s="50">
        <f>AL87</f>
        <v>0</v>
      </c>
      <c r="Y87" s="120"/>
      <c r="Z87" s="96">
        <f>SUM(T87:X87)</f>
        <v>0</v>
      </c>
      <c r="AA87" s="97">
        <f>IF(C87=2007, Z87/3,Z87)+Y87</f>
        <v>0</v>
      </c>
      <c r="AB87" s="22"/>
      <c r="AC87" s="26"/>
      <c r="AD87" s="26"/>
      <c r="AE87" s="26"/>
      <c r="AF87" s="26">
        <f>0</f>
        <v>0</v>
      </c>
      <c r="AG87" s="26"/>
      <c r="AH87" s="26"/>
      <c r="AI87" s="26"/>
      <c r="AJ87" s="95"/>
      <c r="AK87" s="96">
        <f>SUM(AC87:AI87)</f>
        <v>0</v>
      </c>
      <c r="AL87" s="97">
        <f>IF(C87=2006, AK87/3,AK87)+AJ87</f>
        <v>0</v>
      </c>
    </row>
    <row r="88" spans="1:57" s="3" customFormat="1" x14ac:dyDescent="0.25">
      <c r="A88" s="60" t="s">
        <v>708</v>
      </c>
      <c r="B88" s="65" t="s">
        <v>7</v>
      </c>
      <c r="C88" s="62">
        <v>1997</v>
      </c>
      <c r="D88" s="1">
        <f>R88+E88+F88</f>
        <v>0</v>
      </c>
      <c r="E88" s="233"/>
      <c r="F88" s="219"/>
      <c r="G88" s="154"/>
      <c r="H88" s="219"/>
      <c r="I88" s="205"/>
      <c r="J88" s="196"/>
      <c r="K88" s="186"/>
      <c r="L88" s="170"/>
      <c r="M88" s="50"/>
      <c r="N88" s="50"/>
      <c r="O88" s="219">
        <f>AA88</f>
        <v>0</v>
      </c>
      <c r="P88" s="120"/>
      <c r="Q88" s="96">
        <f>I88+J88+K88+L88+M88+N88+O88</f>
        <v>0</v>
      </c>
      <c r="R88" s="97">
        <f>IF(C88=2008, Q88/3,Q88)+P88</f>
        <v>0</v>
      </c>
      <c r="S88" s="22"/>
      <c r="T88" s="50"/>
      <c r="U88" s="50">
        <f>0</f>
        <v>0</v>
      </c>
      <c r="V88" s="50"/>
      <c r="W88" s="50"/>
      <c r="X88" s="50"/>
      <c r="Y88" s="120"/>
      <c r="Z88" s="96">
        <f>SUM(T88:X88)</f>
        <v>0</v>
      </c>
      <c r="AA88" s="97">
        <f>IF(C88=2007, Z88/3,Z88)+Y88</f>
        <v>0</v>
      </c>
      <c r="AB88" s="22"/>
      <c r="AC88" s="26"/>
      <c r="AD88" s="26"/>
      <c r="AE88" s="26"/>
      <c r="AF88" s="26"/>
      <c r="AG88" s="26"/>
      <c r="AH88" s="26"/>
      <c r="AI88" s="26"/>
      <c r="AJ88" s="95"/>
      <c r="AK88" s="96"/>
      <c r="AL88" s="97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spans="1:57" s="3" customFormat="1" x14ac:dyDescent="0.25">
      <c r="A89" s="11" t="s">
        <v>699</v>
      </c>
      <c r="B89" s="60" t="s">
        <v>232</v>
      </c>
      <c r="C89" s="62">
        <v>2008</v>
      </c>
      <c r="D89" s="1">
        <f>R89+E89+F89</f>
        <v>98.666666666666657</v>
      </c>
      <c r="E89" s="233">
        <f>12+39</f>
        <v>51</v>
      </c>
      <c r="F89" s="219">
        <f>6+6</f>
        <v>12</v>
      </c>
      <c r="G89" s="120"/>
      <c r="H89" s="219"/>
      <c r="I89" s="205"/>
      <c r="J89" s="196"/>
      <c r="K89" s="186"/>
      <c r="L89" s="170"/>
      <c r="M89" s="50"/>
      <c r="N89" s="50">
        <f>46</f>
        <v>46</v>
      </c>
      <c r="O89" s="219">
        <f>AA89</f>
        <v>61</v>
      </c>
      <c r="P89" s="120"/>
      <c r="Q89" s="96">
        <f>I89+J89+K89+L89+M89+N89+O89</f>
        <v>107</v>
      </c>
      <c r="R89" s="97">
        <f>IF(C89=2008, Q89/3,Q89)+P89</f>
        <v>35.666666666666664</v>
      </c>
      <c r="S89" s="22"/>
      <c r="T89" s="50">
        <f>36</f>
        <v>36</v>
      </c>
      <c r="U89" s="50">
        <f>25</f>
        <v>25</v>
      </c>
      <c r="V89" s="50"/>
      <c r="W89" s="50"/>
      <c r="X89" s="50"/>
      <c r="Y89" s="120"/>
      <c r="Z89" s="96">
        <f>SUM(T89:X89)</f>
        <v>61</v>
      </c>
      <c r="AA89" s="97">
        <f>IF(C89=2011, Z89/3,Z89)+Y89</f>
        <v>61</v>
      </c>
      <c r="AB89" s="22"/>
      <c r="AC89" s="41"/>
      <c r="AD89" s="41"/>
      <c r="AE89" s="41"/>
      <c r="AF89" s="41"/>
      <c r="AG89" s="41"/>
      <c r="AH89" s="41"/>
      <c r="AI89" s="13"/>
      <c r="AJ89" s="95"/>
      <c r="AK89" s="96"/>
      <c r="AL89" s="97"/>
    </row>
    <row r="90" spans="1:57" s="3" customFormat="1" x14ac:dyDescent="0.25">
      <c r="A90" s="53" t="s">
        <v>58</v>
      </c>
      <c r="B90" s="86" t="s">
        <v>52</v>
      </c>
      <c r="C90" s="52">
        <v>2007</v>
      </c>
      <c r="D90" s="1">
        <f>R90+E90+F90</f>
        <v>0.33333333333333331</v>
      </c>
      <c r="E90" s="156"/>
      <c r="F90" s="156"/>
      <c r="G90" s="154"/>
      <c r="H90" s="156"/>
      <c r="I90" s="205"/>
      <c r="J90" s="196"/>
      <c r="K90" s="186"/>
      <c r="L90" s="170"/>
      <c r="M90" s="50"/>
      <c r="N90" s="50"/>
      <c r="O90" s="219">
        <f>AA90</f>
        <v>0.33333333333333331</v>
      </c>
      <c r="P90" s="120"/>
      <c r="Q90" s="96">
        <f>I90+J90+K90+L90+M90+N90+O90</f>
        <v>0.33333333333333331</v>
      </c>
      <c r="R90" s="97">
        <f>IF(C90=2008, Q90/3,Q90)+P90</f>
        <v>0.33333333333333331</v>
      </c>
      <c r="S90" s="22"/>
      <c r="T90" s="50"/>
      <c r="U90" s="50"/>
      <c r="V90" s="50"/>
      <c r="W90" s="50"/>
      <c r="X90" s="50">
        <f>AL90</f>
        <v>1</v>
      </c>
      <c r="Y90" s="120"/>
      <c r="Z90" s="96">
        <f>SUM(T90:X90)</f>
        <v>1</v>
      </c>
      <c r="AA90" s="97">
        <f>IF(C90=2007, Z90/3,Z90)+Y90</f>
        <v>0.33333333333333331</v>
      </c>
      <c r="AB90" s="22"/>
      <c r="AC90" s="41">
        <v>1</v>
      </c>
      <c r="AD90" s="41"/>
      <c r="AE90" s="41"/>
      <c r="AF90" s="41"/>
      <c r="AG90" s="41"/>
      <c r="AH90" s="41"/>
      <c r="AI90" s="41"/>
      <c r="AJ90" s="95"/>
      <c r="AK90" s="96">
        <f>SUM(AC90:AI90)</f>
        <v>1</v>
      </c>
      <c r="AL90" s="97">
        <f>IF(C90=2010, AK90/3,AK90)+AJ90</f>
        <v>1</v>
      </c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</row>
    <row r="91" spans="1:57" s="3" customFormat="1" x14ac:dyDescent="0.25">
      <c r="A91" s="60" t="s">
        <v>183</v>
      </c>
      <c r="B91" s="65" t="s">
        <v>87</v>
      </c>
      <c r="C91" s="62">
        <v>2008</v>
      </c>
      <c r="D91" s="1">
        <f>R91+E91+F91</f>
        <v>37</v>
      </c>
      <c r="E91" s="233">
        <f>33</f>
        <v>33</v>
      </c>
      <c r="F91" s="219"/>
      <c r="G91" s="120"/>
      <c r="H91" s="219"/>
      <c r="I91" s="205"/>
      <c r="J91" s="196"/>
      <c r="K91" s="186"/>
      <c r="L91" s="170"/>
      <c r="M91" s="50"/>
      <c r="N91" s="50"/>
      <c r="O91" s="219">
        <f>AA91</f>
        <v>12</v>
      </c>
      <c r="P91" s="120"/>
      <c r="Q91" s="96">
        <f>I91+J91+K91+L91+M91+N91+O91</f>
        <v>12</v>
      </c>
      <c r="R91" s="97">
        <f>IF(C91=2008, Q91/3,Q91)+P91</f>
        <v>4</v>
      </c>
      <c r="S91" s="22"/>
      <c r="T91" s="50"/>
      <c r="U91" s="50"/>
      <c r="V91" s="50"/>
      <c r="W91" s="50"/>
      <c r="X91" s="50">
        <f>AL91</f>
        <v>12</v>
      </c>
      <c r="Y91" s="120"/>
      <c r="Z91" s="96">
        <f>SUM(T91:X91)</f>
        <v>12</v>
      </c>
      <c r="AA91" s="97">
        <f>IF(C91=2011, Z91/3,Z91)+Y91</f>
        <v>12</v>
      </c>
      <c r="AB91" s="22"/>
      <c r="AC91" s="13"/>
      <c r="AD91" s="13">
        <f>12</f>
        <v>12</v>
      </c>
      <c r="AE91" s="13"/>
      <c r="AF91" s="13"/>
      <c r="AG91" s="13"/>
      <c r="AH91" s="13"/>
      <c r="AI91" s="13"/>
      <c r="AJ91" s="95"/>
      <c r="AK91" s="96">
        <f>SUM(AC91:AI91)</f>
        <v>12</v>
      </c>
      <c r="AL91" s="97">
        <f>IF(C91=2010, AK91/3,AK91)+AJ91</f>
        <v>12</v>
      </c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</row>
    <row r="92" spans="1:57" s="3" customFormat="1" x14ac:dyDescent="0.25">
      <c r="A92" s="60" t="s">
        <v>191</v>
      </c>
      <c r="B92" s="65" t="s">
        <v>87</v>
      </c>
      <c r="C92" s="62">
        <v>2007</v>
      </c>
      <c r="D92" s="1">
        <f>R92+E92+F92</f>
        <v>10</v>
      </c>
      <c r="E92" s="233"/>
      <c r="F92" s="219"/>
      <c r="G92" s="120"/>
      <c r="H92" s="219"/>
      <c r="I92" s="205"/>
      <c r="J92" s="196"/>
      <c r="K92" s="186"/>
      <c r="L92" s="170"/>
      <c r="M92" s="50"/>
      <c r="N92" s="50"/>
      <c r="O92" s="219">
        <f>AA92</f>
        <v>10</v>
      </c>
      <c r="P92" s="120"/>
      <c r="Q92" s="96">
        <f>I92+J92+K92+L92+M92+N92+O92</f>
        <v>10</v>
      </c>
      <c r="R92" s="97">
        <f>IF(C92=2008, Q92/3,Q92)+P92</f>
        <v>10</v>
      </c>
      <c r="S92" s="22"/>
      <c r="T92" s="50"/>
      <c r="U92" s="50"/>
      <c r="V92" s="50"/>
      <c r="W92" s="50"/>
      <c r="X92" s="50">
        <f>AL92</f>
        <v>30</v>
      </c>
      <c r="Y92" s="120"/>
      <c r="Z92" s="96">
        <f>SUM(T92:X92)</f>
        <v>30</v>
      </c>
      <c r="AA92" s="97">
        <f>IF(C92=2007, Z92/3,Z92)+Y92</f>
        <v>10</v>
      </c>
      <c r="AB92" s="22"/>
      <c r="AC92" s="13"/>
      <c r="AD92" s="13">
        <f>6+24</f>
        <v>30</v>
      </c>
      <c r="AE92" s="13"/>
      <c r="AF92" s="13"/>
      <c r="AG92" s="13"/>
      <c r="AH92" s="13"/>
      <c r="AI92" s="13"/>
      <c r="AJ92" s="95"/>
      <c r="AK92" s="96">
        <f>SUM(AC92:AI92)</f>
        <v>30</v>
      </c>
      <c r="AL92" s="97">
        <f>IF(C92=2010, AK92/3,AK92)+AJ92</f>
        <v>30</v>
      </c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</row>
    <row r="93" spans="1:57" s="3" customFormat="1" x14ac:dyDescent="0.25">
      <c r="A93" s="11" t="s">
        <v>748</v>
      </c>
      <c r="B93" s="60" t="s">
        <v>63</v>
      </c>
      <c r="C93" s="62">
        <v>2008</v>
      </c>
      <c r="D93" s="1">
        <f>R93+E93+F93</f>
        <v>17</v>
      </c>
      <c r="E93" s="233"/>
      <c r="F93" s="219"/>
      <c r="G93" s="120"/>
      <c r="H93" s="219"/>
      <c r="I93" s="205"/>
      <c r="J93" s="196"/>
      <c r="K93" s="186"/>
      <c r="L93" s="170">
        <f>10+5+1</f>
        <v>16</v>
      </c>
      <c r="M93" s="50">
        <f>6+6</f>
        <v>12</v>
      </c>
      <c r="N93" s="50">
        <f>8+5</f>
        <v>13</v>
      </c>
      <c r="O93" s="219">
        <f>AA93</f>
        <v>10</v>
      </c>
      <c r="P93" s="120"/>
      <c r="Q93" s="96">
        <f>I93+J93+K93+L93+M93+N93+O93</f>
        <v>51</v>
      </c>
      <c r="R93" s="97">
        <f>IF(C93=2008, Q93/3,Q93)+P93</f>
        <v>17</v>
      </c>
      <c r="S93" s="22"/>
      <c r="T93" s="50">
        <f>7+3</f>
        <v>10</v>
      </c>
      <c r="U93" s="50"/>
      <c r="V93" s="50"/>
      <c r="W93" s="50"/>
      <c r="X93" s="50"/>
      <c r="Y93" s="120"/>
      <c r="Z93" s="96">
        <f>SUM(T93:X93)</f>
        <v>10</v>
      </c>
      <c r="AA93" s="97">
        <f>IF(C93=2011, Z93/3,Z93)+Y93</f>
        <v>10</v>
      </c>
      <c r="AB93" s="22"/>
      <c r="AC93" s="41"/>
      <c r="AD93" s="41"/>
      <c r="AE93" s="41"/>
      <c r="AF93" s="41"/>
      <c r="AG93" s="41"/>
      <c r="AH93" s="41"/>
      <c r="AI93" s="13"/>
      <c r="AJ93" s="95"/>
      <c r="AK93" s="96"/>
      <c r="AL93" s="97"/>
    </row>
    <row r="94" spans="1:57" s="3" customFormat="1" x14ac:dyDescent="0.25">
      <c r="A94" s="60" t="s">
        <v>354</v>
      </c>
      <c r="B94" s="65" t="s">
        <v>86</v>
      </c>
      <c r="C94" s="62">
        <v>2007</v>
      </c>
      <c r="D94" s="1">
        <f>R94+E94+F94</f>
        <v>0</v>
      </c>
      <c r="E94" s="233"/>
      <c r="F94" s="219"/>
      <c r="G94" s="154"/>
      <c r="H94" s="219"/>
      <c r="I94" s="205"/>
      <c r="J94" s="196"/>
      <c r="K94" s="186"/>
      <c r="L94" s="170"/>
      <c r="M94" s="50"/>
      <c r="N94" s="50"/>
      <c r="O94" s="219">
        <f>AA94</f>
        <v>0</v>
      </c>
      <c r="P94" s="120"/>
      <c r="Q94" s="96">
        <f>I94+J94+K94+L94+M94+N94+O94</f>
        <v>0</v>
      </c>
      <c r="R94" s="97">
        <f>IF(C94=2008, Q94/3,Q94)+P94</f>
        <v>0</v>
      </c>
      <c r="S94" s="22"/>
      <c r="T94" s="50"/>
      <c r="U94" s="50"/>
      <c r="V94" s="50"/>
      <c r="W94" s="50"/>
      <c r="X94" s="50">
        <f>AL94</f>
        <v>0</v>
      </c>
      <c r="Y94" s="120"/>
      <c r="Z94" s="96">
        <f>SUM(T94:X94)</f>
        <v>0</v>
      </c>
      <c r="AA94" s="97">
        <f>IF(C94=2007, Z94/3,Z94)+Y94</f>
        <v>0</v>
      </c>
      <c r="AB94" s="22"/>
      <c r="AC94" s="13"/>
      <c r="AD94" s="13"/>
      <c r="AE94" s="13"/>
      <c r="AF94" s="13">
        <f>0</f>
        <v>0</v>
      </c>
      <c r="AG94" s="13"/>
      <c r="AH94" s="13"/>
      <c r="AI94" s="13"/>
      <c r="AJ94" s="95"/>
      <c r="AK94" s="96">
        <f>SUM(AC94:AI94)</f>
        <v>0</v>
      </c>
      <c r="AL94" s="97">
        <f>IF(C94=2010, AK94/3,AK94)+AJ94</f>
        <v>0</v>
      </c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</row>
    <row r="95" spans="1:57" x14ac:dyDescent="0.25">
      <c r="A95" s="60" t="s">
        <v>537</v>
      </c>
      <c r="B95" s="65" t="s">
        <v>532</v>
      </c>
      <c r="C95" s="62">
        <v>2008</v>
      </c>
      <c r="D95" s="1">
        <f>R95+E95+F95</f>
        <v>5</v>
      </c>
      <c r="G95" s="154"/>
      <c r="I95" s="205"/>
      <c r="J95" s="196"/>
      <c r="K95" s="186"/>
      <c r="L95" s="170"/>
      <c r="M95" s="50"/>
      <c r="N95" s="50"/>
      <c r="O95" s="219">
        <f>AA95</f>
        <v>15</v>
      </c>
      <c r="P95" s="120"/>
      <c r="Q95" s="96">
        <f>I95+J95+K95+L95+M95+N95+O95</f>
        <v>15</v>
      </c>
      <c r="R95" s="97">
        <f>IF(C95=2008, Q95/3,Q95)+P95</f>
        <v>5</v>
      </c>
      <c r="S95" s="22"/>
      <c r="T95" s="50"/>
      <c r="U95" s="50">
        <f>9</f>
        <v>9</v>
      </c>
      <c r="V95" s="50"/>
      <c r="W95" s="50"/>
      <c r="X95" s="50">
        <f>AL95</f>
        <v>6</v>
      </c>
      <c r="Y95" s="120"/>
      <c r="Z95" s="96">
        <f>SUM(T95:X95)</f>
        <v>15</v>
      </c>
      <c r="AA95" s="97">
        <f>IF(C95=2011, Z95/3,Z95)+Y95</f>
        <v>15</v>
      </c>
      <c r="AB95" s="22"/>
      <c r="AC95" s="13"/>
      <c r="AD95" s="13"/>
      <c r="AE95" s="13"/>
      <c r="AF95" s="13"/>
      <c r="AG95" s="13"/>
      <c r="AH95" s="13">
        <f>0</f>
        <v>0</v>
      </c>
      <c r="AI95" s="13">
        <f>6</f>
        <v>6</v>
      </c>
      <c r="AJ95" s="95"/>
      <c r="AK95" s="96">
        <f>SUM(AC95:AI95)</f>
        <v>6</v>
      </c>
      <c r="AL95" s="97">
        <f>IF(C95=2010, AK95/3,AK95)+AJ95</f>
        <v>6</v>
      </c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spans="1:57" s="3" customFormat="1" x14ac:dyDescent="0.25">
      <c r="A96" s="60" t="s">
        <v>497</v>
      </c>
      <c r="B96" s="65" t="s">
        <v>232</v>
      </c>
      <c r="C96" s="62">
        <v>2008</v>
      </c>
      <c r="D96" s="1">
        <f>R96+E96+F96</f>
        <v>8.6666666666666661</v>
      </c>
      <c r="E96" s="233"/>
      <c r="F96" s="219"/>
      <c r="G96" s="154"/>
      <c r="H96" s="219"/>
      <c r="I96" s="205"/>
      <c r="J96" s="196"/>
      <c r="K96" s="186"/>
      <c r="L96" s="170"/>
      <c r="M96" s="50"/>
      <c r="N96" s="50"/>
      <c r="O96" s="219">
        <f>AA96</f>
        <v>26</v>
      </c>
      <c r="P96" s="120"/>
      <c r="Q96" s="96">
        <f>I96+J96+K96+L96+M96+N96+O96</f>
        <v>26</v>
      </c>
      <c r="R96" s="97">
        <f>IF(C96=2008, Q96/3,Q96)+P96</f>
        <v>8.6666666666666661</v>
      </c>
      <c r="S96" s="22"/>
      <c r="T96" s="50"/>
      <c r="U96" s="50"/>
      <c r="V96" s="50">
        <f>14</f>
        <v>14</v>
      </c>
      <c r="W96" s="50"/>
      <c r="X96" s="50">
        <f>AL96</f>
        <v>12</v>
      </c>
      <c r="Y96" s="120"/>
      <c r="Z96" s="96">
        <f>SUM(T96:X96)</f>
        <v>26</v>
      </c>
      <c r="AA96" s="97">
        <f>IF(C96=2011, Z96/3,Z96)+Y96</f>
        <v>26</v>
      </c>
      <c r="AB96" s="22"/>
      <c r="AC96" s="13"/>
      <c r="AD96" s="13"/>
      <c r="AE96" s="13"/>
      <c r="AF96" s="13"/>
      <c r="AG96" s="13"/>
      <c r="AH96" s="13">
        <f>12</f>
        <v>12</v>
      </c>
      <c r="AI96" s="13"/>
      <c r="AJ96" s="95"/>
      <c r="AK96" s="96">
        <f>SUM(AC96:AI96)</f>
        <v>12</v>
      </c>
      <c r="AL96" s="97">
        <f>IF(C96=2010, AK96/3,AK96)+AJ96</f>
        <v>12</v>
      </c>
    </row>
    <row r="97" spans="1:57" s="3" customFormat="1" x14ac:dyDescent="0.25">
      <c r="A97" s="60" t="s">
        <v>213</v>
      </c>
      <c r="B97" s="65" t="s">
        <v>111</v>
      </c>
      <c r="C97" s="62">
        <v>2004</v>
      </c>
      <c r="D97" s="1">
        <f>R97+E97+F97</f>
        <v>7</v>
      </c>
      <c r="E97" s="108"/>
      <c r="F97" s="108"/>
      <c r="G97" s="122"/>
      <c r="H97" s="108"/>
      <c r="I97" s="205"/>
      <c r="J97" s="196"/>
      <c r="K97" s="186"/>
      <c r="L97" s="219"/>
      <c r="M97" s="50"/>
      <c r="N97" s="50"/>
      <c r="O97" s="219">
        <f>AA97</f>
        <v>7</v>
      </c>
      <c r="P97" s="120"/>
      <c r="Q97" s="96">
        <f>I97+J97+K97+L97+M97+N97+O97</f>
        <v>7</v>
      </c>
      <c r="R97" s="97">
        <f>IF(C97=2008, Q97/3,Q97)+P97</f>
        <v>7</v>
      </c>
      <c r="S97" s="22"/>
      <c r="T97" s="50"/>
      <c r="U97" s="50"/>
      <c r="V97" s="50"/>
      <c r="W97" s="50"/>
      <c r="X97" s="50">
        <f>AL97</f>
        <v>7</v>
      </c>
      <c r="Y97" s="120"/>
      <c r="Z97" s="96">
        <f>SUM(T97:X97)</f>
        <v>7</v>
      </c>
      <c r="AA97" s="97">
        <f>IF(C97=2007, Z97/3,Z97)+Y97</f>
        <v>7</v>
      </c>
      <c r="AB97" s="22"/>
      <c r="AC97" s="26"/>
      <c r="AD97" s="26">
        <v>1</v>
      </c>
      <c r="AE97" s="26"/>
      <c r="AF97" s="26">
        <f>6</f>
        <v>6</v>
      </c>
      <c r="AG97" s="26"/>
      <c r="AH97" s="26"/>
      <c r="AI97" s="26"/>
      <c r="AJ97" s="95"/>
      <c r="AK97" s="96">
        <f>SUM(AC97:AI97)</f>
        <v>7</v>
      </c>
      <c r="AL97" s="97">
        <f>IF(C97=2006, AK97/3,AK97)+AJ97</f>
        <v>7</v>
      </c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spans="1:57" s="3" customFormat="1" x14ac:dyDescent="0.25">
      <c r="A98" s="60" t="s">
        <v>366</v>
      </c>
      <c r="B98" s="65" t="s">
        <v>111</v>
      </c>
      <c r="C98" s="62">
        <v>2007</v>
      </c>
      <c r="D98" s="1">
        <f>R98+E98+F98</f>
        <v>131.33333333333334</v>
      </c>
      <c r="E98" s="156"/>
      <c r="F98" s="156"/>
      <c r="G98" s="122"/>
      <c r="H98" s="156"/>
      <c r="I98" s="205"/>
      <c r="J98" s="196"/>
      <c r="K98" s="186">
        <f>0</f>
        <v>0</v>
      </c>
      <c r="L98" s="74"/>
      <c r="M98" s="50"/>
      <c r="N98" s="50"/>
      <c r="O98" s="219">
        <f>AA98</f>
        <v>131.33333333333334</v>
      </c>
      <c r="P98" s="120"/>
      <c r="Q98" s="96">
        <f>I98+J98+K98+L98+M98+N98+O98</f>
        <v>131.33333333333334</v>
      </c>
      <c r="R98" s="97">
        <f>IF(C98=2008, Q98/3,Q98)+P98</f>
        <v>131.33333333333334</v>
      </c>
      <c r="S98" s="22"/>
      <c r="T98" s="50"/>
      <c r="U98" s="50">
        <f>3</f>
        <v>3</v>
      </c>
      <c r="V98" s="50"/>
      <c r="W98" s="50"/>
      <c r="X98" s="50">
        <f>AL98</f>
        <v>391</v>
      </c>
      <c r="Y98" s="120"/>
      <c r="Z98" s="96">
        <f>SUM(T98:X98)</f>
        <v>394</v>
      </c>
      <c r="AA98" s="97">
        <f>IF(C98=2007, Z98/3,Z98)+Y98</f>
        <v>131.33333333333334</v>
      </c>
      <c r="AB98" s="22"/>
      <c r="AC98" s="13"/>
      <c r="AD98" s="13">
        <v>60</v>
      </c>
      <c r="AE98" s="13"/>
      <c r="AF98" s="13">
        <f>18</f>
        <v>18</v>
      </c>
      <c r="AG98" s="13"/>
      <c r="AH98" s="13"/>
      <c r="AI98" s="13">
        <v>304</v>
      </c>
      <c r="AJ98" s="95">
        <f>6+3</f>
        <v>9</v>
      </c>
      <c r="AK98" s="96">
        <f>SUM(AC98:AI98)</f>
        <v>382</v>
      </c>
      <c r="AL98" s="97">
        <f>IF(C98=2010, AK98/3,AK98)+AJ98</f>
        <v>391</v>
      </c>
    </row>
    <row r="99" spans="1:57" s="3" customFormat="1" x14ac:dyDescent="0.25">
      <c r="A99" s="60" t="s">
        <v>751</v>
      </c>
      <c r="B99" s="65" t="s">
        <v>63</v>
      </c>
      <c r="C99" s="62">
        <v>2008</v>
      </c>
      <c r="D99" s="1">
        <f>R99+E99+F99</f>
        <v>6</v>
      </c>
      <c r="E99" s="233"/>
      <c r="F99" s="219"/>
      <c r="G99" s="120"/>
      <c r="H99" s="219"/>
      <c r="I99" s="205"/>
      <c r="J99" s="196"/>
      <c r="K99" s="186"/>
      <c r="L99" s="170">
        <f>10+1</f>
        <v>11</v>
      </c>
      <c r="M99" s="50">
        <f>6</f>
        <v>6</v>
      </c>
      <c r="N99" s="50">
        <f>0</f>
        <v>0</v>
      </c>
      <c r="O99" s="219">
        <f>AA99</f>
        <v>1</v>
      </c>
      <c r="P99" s="120"/>
      <c r="Q99" s="96">
        <f>I99+J99+K99+L99+M99+N99+O99</f>
        <v>18</v>
      </c>
      <c r="R99" s="97">
        <f>IF(C99=2008, Q99/3,Q99)+P99</f>
        <v>6</v>
      </c>
      <c r="S99" s="22"/>
      <c r="T99" s="50">
        <f>0+1</f>
        <v>1</v>
      </c>
      <c r="U99" s="50"/>
      <c r="V99" s="50"/>
      <c r="W99" s="50"/>
      <c r="X99" s="50"/>
      <c r="Y99" s="120"/>
      <c r="Z99" s="96">
        <f>SUM(T99:X99)</f>
        <v>1</v>
      </c>
      <c r="AA99" s="97">
        <f>IF(C99=2011, Z99/3,Z99)+Y99</f>
        <v>1</v>
      </c>
      <c r="AB99" s="22"/>
      <c r="AC99" s="13"/>
      <c r="AD99" s="13"/>
      <c r="AE99" s="13"/>
      <c r="AF99" s="13"/>
      <c r="AG99" s="13"/>
      <c r="AH99" s="13"/>
      <c r="AI99" s="13"/>
      <c r="AJ99" s="95"/>
      <c r="AK99" s="96"/>
      <c r="AL99" s="97"/>
    </row>
    <row r="100" spans="1:57" s="3" customFormat="1" x14ac:dyDescent="0.25">
      <c r="A100" s="60" t="s">
        <v>161</v>
      </c>
      <c r="B100" s="65" t="s">
        <v>87</v>
      </c>
      <c r="C100" s="62">
        <v>2006</v>
      </c>
      <c r="D100" s="1">
        <f>R100+E100+F100</f>
        <v>4.666666666666667</v>
      </c>
      <c r="E100" s="233"/>
      <c r="F100" s="219"/>
      <c r="G100" s="154"/>
      <c r="H100" s="219"/>
      <c r="I100" s="205"/>
      <c r="J100" s="196"/>
      <c r="K100" s="186"/>
      <c r="L100" s="170"/>
      <c r="M100" s="50"/>
      <c r="N100" s="50"/>
      <c r="O100" s="219">
        <f>AA100</f>
        <v>4.666666666666667</v>
      </c>
      <c r="P100" s="120"/>
      <c r="Q100" s="96">
        <f>I100+J100+K100+L100+M100+N100+O100</f>
        <v>4.666666666666667</v>
      </c>
      <c r="R100" s="97">
        <f>IF(C100=2008, Q100/3,Q100)+P100</f>
        <v>4.666666666666667</v>
      </c>
      <c r="S100" s="22"/>
      <c r="T100" s="50"/>
      <c r="U100" s="50"/>
      <c r="V100" s="50"/>
      <c r="W100" s="50"/>
      <c r="X100" s="50">
        <f>AL100</f>
        <v>4.666666666666667</v>
      </c>
      <c r="Y100" s="120"/>
      <c r="Z100" s="96">
        <f>SUM(T100:X100)</f>
        <v>4.666666666666667</v>
      </c>
      <c r="AA100" s="97">
        <f>IF(C100=2007, Z100/3,Z100)+Y100</f>
        <v>4.666666666666667</v>
      </c>
      <c r="AB100" s="22"/>
      <c r="AC100" s="13"/>
      <c r="AD100" s="13">
        <f>12+2</f>
        <v>14</v>
      </c>
      <c r="AE100" s="13"/>
      <c r="AF100" s="13"/>
      <c r="AG100" s="13"/>
      <c r="AH100" s="13"/>
      <c r="AI100" s="13"/>
      <c r="AJ100" s="95"/>
      <c r="AK100" s="96">
        <f>SUM(AC100:AI100)</f>
        <v>14</v>
      </c>
      <c r="AL100" s="97">
        <f>IF(C100=2006, AK100/3,AK100)+AJ100</f>
        <v>4.666666666666667</v>
      </c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</row>
    <row r="101" spans="1:57" x14ac:dyDescent="0.25">
      <c r="A101" s="11" t="s">
        <v>260</v>
      </c>
      <c r="B101" s="71" t="s">
        <v>111</v>
      </c>
      <c r="C101" s="62">
        <v>2006</v>
      </c>
      <c r="D101" s="1">
        <f>R101+E101+F101</f>
        <v>67</v>
      </c>
      <c r="G101" s="154"/>
      <c r="I101" s="205"/>
      <c r="J101" s="196"/>
      <c r="K101" s="186"/>
      <c r="L101" s="170"/>
      <c r="M101" s="50"/>
      <c r="N101" s="50"/>
      <c r="O101" s="219">
        <f>AA101</f>
        <v>67</v>
      </c>
      <c r="P101" s="120"/>
      <c r="Q101" s="96">
        <f>I101+J101+K101+L101+M101+N101+O101</f>
        <v>67</v>
      </c>
      <c r="R101" s="97">
        <f>IF(C101=2008, Q101/3,Q101)+P101</f>
        <v>67</v>
      </c>
      <c r="S101" s="219"/>
      <c r="T101" s="50"/>
      <c r="U101" s="50"/>
      <c r="V101" s="50">
        <f>13</f>
        <v>13</v>
      </c>
      <c r="W101" s="50"/>
      <c r="X101" s="50">
        <f>AL101</f>
        <v>54</v>
      </c>
      <c r="Y101" s="120"/>
      <c r="Z101" s="96">
        <f>SUM(T101:X101)</f>
        <v>67</v>
      </c>
      <c r="AA101" s="97">
        <f>IF(C101=2007, Z101/3,Z101)+Y101</f>
        <v>67</v>
      </c>
      <c r="AB101" s="22"/>
      <c r="AC101" s="41"/>
      <c r="AD101" s="41"/>
      <c r="AE101" s="41">
        <f>6+1</f>
        <v>7</v>
      </c>
      <c r="AF101" s="41">
        <f>43+4</f>
        <v>47</v>
      </c>
      <c r="AG101" s="41"/>
      <c r="AH101" s="41"/>
      <c r="AI101" s="13"/>
      <c r="AJ101" s="95"/>
      <c r="AK101" s="96">
        <f>SUM(AC101:AI101)</f>
        <v>54</v>
      </c>
      <c r="AL101" s="97">
        <f>IF(C101=2015, AK101/3,AK101)+AJ101</f>
        <v>54</v>
      </c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</row>
    <row r="102" spans="1:57" s="3" customFormat="1" x14ac:dyDescent="0.25">
      <c r="A102" s="60" t="s">
        <v>192</v>
      </c>
      <c r="B102" s="85" t="s">
        <v>64</v>
      </c>
      <c r="C102" s="62">
        <v>2006</v>
      </c>
      <c r="D102" s="1">
        <f>R102+E102+F102</f>
        <v>86</v>
      </c>
      <c r="E102" s="233"/>
      <c r="F102" s="219"/>
      <c r="G102" s="120"/>
      <c r="H102" s="219"/>
      <c r="I102" s="205"/>
      <c r="J102" s="196"/>
      <c r="K102" s="186"/>
      <c r="L102" s="170"/>
      <c r="M102" s="50">
        <f>27+3+3</f>
        <v>33</v>
      </c>
      <c r="N102" s="50"/>
      <c r="O102" s="219">
        <f>AA102</f>
        <v>53</v>
      </c>
      <c r="P102" s="120"/>
      <c r="Q102" s="96">
        <f>I102+J102+K102+L102+M102+N102+O102</f>
        <v>86</v>
      </c>
      <c r="R102" s="97">
        <f>IF(C102=2008, Q102/3,Q102)+P102</f>
        <v>86</v>
      </c>
      <c r="S102" s="22"/>
      <c r="T102" s="50"/>
      <c r="U102" s="50">
        <f>3</f>
        <v>3</v>
      </c>
      <c r="V102" s="50">
        <f>24</f>
        <v>24</v>
      </c>
      <c r="W102" s="50">
        <f>18</f>
        <v>18</v>
      </c>
      <c r="X102" s="50">
        <f>AL102</f>
        <v>8</v>
      </c>
      <c r="Y102" s="120"/>
      <c r="Z102" s="96">
        <f>SUM(T102:X102)</f>
        <v>53</v>
      </c>
      <c r="AA102" s="97">
        <f>IF(C102=2007, Z102/3,Z102)+Y102</f>
        <v>53</v>
      </c>
      <c r="AB102" s="22"/>
      <c r="AC102" s="13"/>
      <c r="AD102" s="13">
        <v>24</v>
      </c>
      <c r="AE102" s="13"/>
      <c r="AF102" s="13"/>
      <c r="AG102" s="13"/>
      <c r="AH102" s="13"/>
      <c r="AI102" s="13"/>
      <c r="AJ102" s="95"/>
      <c r="AK102" s="96">
        <f>SUM(AC102:AI102)</f>
        <v>24</v>
      </c>
      <c r="AL102" s="97">
        <f>IF(C102=2006, AK102/3,AK102)+AJ102</f>
        <v>8</v>
      </c>
    </row>
    <row r="103" spans="1:57" s="3" customFormat="1" x14ac:dyDescent="0.25">
      <c r="A103" s="60" t="s">
        <v>438</v>
      </c>
      <c r="B103" s="85" t="s">
        <v>36</v>
      </c>
      <c r="C103" s="62">
        <v>2007</v>
      </c>
      <c r="D103" s="1">
        <f>R103+E103+F103</f>
        <v>2</v>
      </c>
      <c r="E103" s="156"/>
      <c r="F103" s="156"/>
      <c r="G103" s="122"/>
      <c r="H103" s="156"/>
      <c r="I103" s="205"/>
      <c r="J103" s="196"/>
      <c r="K103" s="186"/>
      <c r="L103" s="170"/>
      <c r="M103" s="50"/>
      <c r="N103" s="50">
        <f>0</f>
        <v>0</v>
      </c>
      <c r="O103" s="219">
        <f>AA103</f>
        <v>2</v>
      </c>
      <c r="P103" s="120"/>
      <c r="Q103" s="96">
        <f>I103+J103+K103+L103+M103+N103+O103</f>
        <v>2</v>
      </c>
      <c r="R103" s="97">
        <f>IF(C103=2008, Q103/3,Q103)+P103</f>
        <v>2</v>
      </c>
      <c r="S103" s="22"/>
      <c r="T103" s="50"/>
      <c r="U103" s="50"/>
      <c r="V103" s="50"/>
      <c r="W103" s="50">
        <f>0</f>
        <v>0</v>
      </c>
      <c r="X103" s="50">
        <f>AL103</f>
        <v>6</v>
      </c>
      <c r="Y103" s="120"/>
      <c r="Z103" s="96">
        <f>SUM(T103:X103)</f>
        <v>6</v>
      </c>
      <c r="AA103" s="97">
        <f>IF(C103=2007, Z103/3,Z103)+Y103</f>
        <v>2</v>
      </c>
      <c r="AB103" s="22"/>
      <c r="AC103" s="13"/>
      <c r="AD103" s="13"/>
      <c r="AE103" s="13"/>
      <c r="AF103" s="13"/>
      <c r="AG103" s="13">
        <f>6</f>
        <v>6</v>
      </c>
      <c r="AH103" s="13"/>
      <c r="AI103" s="13"/>
      <c r="AJ103" s="95"/>
      <c r="AK103" s="96">
        <f>SUM(AC103:AI103)</f>
        <v>6</v>
      </c>
      <c r="AL103" s="97">
        <f>IF(C103=2010, AK103/3,AK103)+AJ103</f>
        <v>6</v>
      </c>
    </row>
    <row r="104" spans="1:57" s="3" customFormat="1" x14ac:dyDescent="0.25">
      <c r="A104" s="60" t="s">
        <v>495</v>
      </c>
      <c r="B104" s="85" t="s">
        <v>232</v>
      </c>
      <c r="C104" s="62">
        <v>2007</v>
      </c>
      <c r="D104" s="1">
        <f>R104+E104+F104</f>
        <v>6</v>
      </c>
      <c r="E104" s="156"/>
      <c r="F104" s="156"/>
      <c r="G104" s="122"/>
      <c r="H104" s="156"/>
      <c r="I104" s="205"/>
      <c r="J104" s="196"/>
      <c r="K104" s="186"/>
      <c r="L104" s="170"/>
      <c r="M104" s="50"/>
      <c r="N104" s="50"/>
      <c r="O104" s="219">
        <f>AA104</f>
        <v>6</v>
      </c>
      <c r="P104" s="120"/>
      <c r="Q104" s="96">
        <f>I104+J104+K104+L104+M104+N104+O104</f>
        <v>6</v>
      </c>
      <c r="R104" s="97">
        <f>IF(C104=2008, Q104/3,Q104)+P104</f>
        <v>6</v>
      </c>
      <c r="S104" s="22"/>
      <c r="T104" s="50"/>
      <c r="U104" s="50"/>
      <c r="V104" s="50"/>
      <c r="W104" s="50"/>
      <c r="X104" s="50">
        <f>AL104</f>
        <v>18</v>
      </c>
      <c r="Y104" s="120"/>
      <c r="Z104" s="96">
        <f>SUM(T104:X104)</f>
        <v>18</v>
      </c>
      <c r="AA104" s="97">
        <f>IF(C104=2007, Z104/3,Z104)+Y104</f>
        <v>6</v>
      </c>
      <c r="AB104" s="22"/>
      <c r="AC104" s="13"/>
      <c r="AD104" s="13"/>
      <c r="AE104" s="13"/>
      <c r="AF104" s="13"/>
      <c r="AG104" s="13"/>
      <c r="AH104" s="13">
        <f>18</f>
        <v>18</v>
      </c>
      <c r="AI104" s="13"/>
      <c r="AJ104" s="95"/>
      <c r="AK104" s="96">
        <f>SUM(AC104:AI104)</f>
        <v>18</v>
      </c>
      <c r="AL104" s="97">
        <f>IF(C104=2010, AK104/3,AK104)+AJ104</f>
        <v>18</v>
      </c>
    </row>
    <row r="105" spans="1:57" s="3" customFormat="1" x14ac:dyDescent="0.25">
      <c r="A105" s="60" t="s">
        <v>169</v>
      </c>
      <c r="B105" s="65" t="s">
        <v>111</v>
      </c>
      <c r="C105" s="62">
        <v>2007</v>
      </c>
      <c r="D105" s="1">
        <f>R105+E105+F105</f>
        <v>6</v>
      </c>
      <c r="E105" s="233"/>
      <c r="F105" s="219"/>
      <c r="G105" s="154"/>
      <c r="H105" s="219"/>
      <c r="I105" s="205"/>
      <c r="J105" s="196"/>
      <c r="K105" s="186"/>
      <c r="L105" s="170"/>
      <c r="M105" s="50"/>
      <c r="N105" s="50"/>
      <c r="O105" s="219">
        <f>AA105</f>
        <v>6</v>
      </c>
      <c r="P105" s="120"/>
      <c r="Q105" s="96">
        <f>I105+J105+K105+L105+M105+N105+O105</f>
        <v>6</v>
      </c>
      <c r="R105" s="97">
        <f>IF(C105=2008, Q105/3,Q105)+P105</f>
        <v>6</v>
      </c>
      <c r="S105" s="22"/>
      <c r="T105" s="50"/>
      <c r="U105" s="50"/>
      <c r="V105" s="50"/>
      <c r="W105" s="50"/>
      <c r="X105" s="50">
        <f>AL105</f>
        <v>18</v>
      </c>
      <c r="Y105" s="120"/>
      <c r="Z105" s="96">
        <f>SUM(T105:X105)</f>
        <v>18</v>
      </c>
      <c r="AA105" s="97">
        <f>IF(C105=2007, Z105/3,Z105)+Y105</f>
        <v>6</v>
      </c>
      <c r="AB105" s="22"/>
      <c r="AC105" s="13"/>
      <c r="AD105" s="13">
        <v>4</v>
      </c>
      <c r="AE105" s="13"/>
      <c r="AF105" s="13">
        <f>14</f>
        <v>14</v>
      </c>
      <c r="AG105" s="13"/>
      <c r="AH105" s="13"/>
      <c r="AI105" s="13"/>
      <c r="AJ105" s="95"/>
      <c r="AK105" s="96">
        <f>SUM(AC105:AI105)</f>
        <v>18</v>
      </c>
      <c r="AL105" s="97">
        <f>IF(C105=2010, AK105/3,AK105)+AJ105</f>
        <v>18</v>
      </c>
    </row>
    <row r="106" spans="1:57" s="3" customFormat="1" x14ac:dyDescent="0.25">
      <c r="A106" s="60" t="s">
        <v>159</v>
      </c>
      <c r="B106" s="65" t="s">
        <v>111</v>
      </c>
      <c r="C106" s="62">
        <v>2007</v>
      </c>
      <c r="D106" s="1">
        <f>R106+E106+F106</f>
        <v>15.333333333333334</v>
      </c>
      <c r="E106" s="233"/>
      <c r="F106" s="219"/>
      <c r="G106" s="120"/>
      <c r="H106" s="219"/>
      <c r="I106" s="205"/>
      <c r="J106" s="196"/>
      <c r="K106" s="186"/>
      <c r="L106" s="170"/>
      <c r="M106" s="50"/>
      <c r="N106" s="50"/>
      <c r="O106" s="219">
        <f>AA106</f>
        <v>15.333333333333334</v>
      </c>
      <c r="P106" s="120"/>
      <c r="Q106" s="96">
        <f>I106+J106+K106+L106+M106+N106+O106</f>
        <v>15.333333333333334</v>
      </c>
      <c r="R106" s="97">
        <f>IF(C106=2008, Q106/3,Q106)+P106</f>
        <v>15.333333333333334</v>
      </c>
      <c r="S106" s="22"/>
      <c r="T106" s="50"/>
      <c r="U106" s="50"/>
      <c r="V106" s="50"/>
      <c r="W106" s="50"/>
      <c r="X106" s="50">
        <f>AL106</f>
        <v>46</v>
      </c>
      <c r="Y106" s="120"/>
      <c r="Z106" s="96">
        <f>SUM(T106:X106)</f>
        <v>46</v>
      </c>
      <c r="AA106" s="97">
        <f>IF(C106=2007, Z106/3,Z106)+Y106</f>
        <v>15.333333333333334</v>
      </c>
      <c r="AB106" s="22"/>
      <c r="AC106" s="13"/>
      <c r="AD106" s="13">
        <v>21</v>
      </c>
      <c r="AE106" s="13"/>
      <c r="AF106" s="13">
        <f>23</f>
        <v>23</v>
      </c>
      <c r="AG106" s="13"/>
      <c r="AH106" s="13"/>
      <c r="AI106" s="13"/>
      <c r="AJ106" s="95">
        <f>2</f>
        <v>2</v>
      </c>
      <c r="AK106" s="96">
        <f>SUM(AC106:AI106)</f>
        <v>44</v>
      </c>
      <c r="AL106" s="97">
        <f>IF(C106=2010, AK106/3,AK106)+AJ106</f>
        <v>46</v>
      </c>
    </row>
    <row r="107" spans="1:57" x14ac:dyDescent="0.25">
      <c r="A107" s="60" t="s">
        <v>747</v>
      </c>
      <c r="B107" s="65" t="s">
        <v>63</v>
      </c>
      <c r="C107" s="62">
        <v>2008</v>
      </c>
      <c r="D107" s="1">
        <f>R107+E107+F107</f>
        <v>5.333333333333333</v>
      </c>
      <c r="G107" s="120"/>
      <c r="I107" s="205"/>
      <c r="J107" s="196"/>
      <c r="K107" s="186"/>
      <c r="L107" s="170"/>
      <c r="M107" s="50"/>
      <c r="N107" s="50">
        <f>0+9</f>
        <v>9</v>
      </c>
      <c r="O107" s="219">
        <f>AA107</f>
        <v>7</v>
      </c>
      <c r="P107" s="120"/>
      <c r="Q107" s="96">
        <f>I107+J107+K107+L107+M107+N107+O107</f>
        <v>16</v>
      </c>
      <c r="R107" s="97">
        <f>IF(C107=2008, Q107/3,Q107)+P107</f>
        <v>5.333333333333333</v>
      </c>
      <c r="S107" s="22"/>
      <c r="T107" s="50">
        <f>7</f>
        <v>7</v>
      </c>
      <c r="U107" s="50"/>
      <c r="V107" s="50"/>
      <c r="W107" s="50"/>
      <c r="X107" s="50"/>
      <c r="Y107" s="120"/>
      <c r="Z107" s="96">
        <f>SUM(T107:X107)</f>
        <v>7</v>
      </c>
      <c r="AA107" s="97">
        <f>IF(C107=2011, Z107/3,Z107)+Y107</f>
        <v>7</v>
      </c>
      <c r="AB107" s="22"/>
      <c r="AC107" s="13"/>
      <c r="AD107" s="13"/>
      <c r="AE107" s="13"/>
      <c r="AF107" s="13"/>
      <c r="AG107" s="13"/>
      <c r="AH107" s="13"/>
      <c r="AI107" s="13"/>
      <c r="AJ107" s="95"/>
      <c r="AK107" s="96"/>
      <c r="AL107" s="97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</row>
    <row r="108" spans="1:57" x14ac:dyDescent="0.25">
      <c r="A108" s="60" t="s">
        <v>704</v>
      </c>
      <c r="B108" s="65" t="s">
        <v>551</v>
      </c>
      <c r="C108" s="62">
        <v>2008</v>
      </c>
      <c r="D108" s="1">
        <f>R108+E108+F108</f>
        <v>10.333333333333334</v>
      </c>
      <c r="E108" s="233">
        <f>0</f>
        <v>0</v>
      </c>
      <c r="G108" s="154"/>
      <c r="I108" s="205"/>
      <c r="J108" s="196"/>
      <c r="K108" s="186"/>
      <c r="L108" s="170"/>
      <c r="M108" s="50">
        <f>11</f>
        <v>11</v>
      </c>
      <c r="N108" s="50">
        <f>14</f>
        <v>14</v>
      </c>
      <c r="O108" s="219">
        <f>AA108</f>
        <v>6</v>
      </c>
      <c r="P108" s="120"/>
      <c r="Q108" s="96">
        <f>I108+J108+K108+L108+M108+N108+O108</f>
        <v>31</v>
      </c>
      <c r="R108" s="97">
        <f>IF(C108=2008, Q108/3,Q108)+P108</f>
        <v>10.333333333333334</v>
      </c>
      <c r="S108" s="22"/>
      <c r="T108" s="50"/>
      <c r="U108" s="50">
        <f>6</f>
        <v>6</v>
      </c>
      <c r="V108" s="50"/>
      <c r="W108" s="50"/>
      <c r="X108" s="50"/>
      <c r="Y108" s="120"/>
      <c r="Z108" s="96">
        <f>SUM(T108:X108)</f>
        <v>6</v>
      </c>
      <c r="AA108" s="97">
        <f>IF(C108=2011, Z108/3,Z108)+Y108</f>
        <v>6</v>
      </c>
      <c r="AB108" s="22"/>
      <c r="AC108" s="13"/>
      <c r="AD108" s="13"/>
      <c r="AE108" s="13"/>
      <c r="AF108" s="13"/>
      <c r="AG108" s="13"/>
      <c r="AH108" s="13"/>
      <c r="AI108" s="13"/>
      <c r="AJ108" s="95"/>
      <c r="AK108" s="96"/>
      <c r="AL108" s="97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</row>
    <row r="109" spans="1:57" s="3" customFormat="1" x14ac:dyDescent="0.25">
      <c r="A109" s="60" t="s">
        <v>644</v>
      </c>
      <c r="B109" s="65" t="s">
        <v>0</v>
      </c>
      <c r="C109" s="62">
        <v>2007</v>
      </c>
      <c r="D109" s="1">
        <f>R109+E109+F109</f>
        <v>9</v>
      </c>
      <c r="E109" s="233"/>
      <c r="F109" s="219"/>
      <c r="G109" s="120"/>
      <c r="H109" s="219"/>
      <c r="I109" s="205"/>
      <c r="J109" s="196"/>
      <c r="K109" s="186"/>
      <c r="L109" s="170"/>
      <c r="M109" s="50"/>
      <c r="N109" s="50"/>
      <c r="O109" s="219">
        <f>AA109</f>
        <v>9</v>
      </c>
      <c r="P109" s="120"/>
      <c r="Q109" s="96">
        <f>I109+J109+K109+L109+M109+N109+O109</f>
        <v>9</v>
      </c>
      <c r="R109" s="97">
        <f>IF(C109=2008, Q109/3,Q109)+P109</f>
        <v>9</v>
      </c>
      <c r="S109" s="22"/>
      <c r="T109" s="50"/>
      <c r="U109" s="50">
        <f>5</f>
        <v>5</v>
      </c>
      <c r="V109" s="50">
        <f>22</f>
        <v>22</v>
      </c>
      <c r="W109" s="50"/>
      <c r="X109" s="50"/>
      <c r="Y109" s="120"/>
      <c r="Z109" s="96">
        <f>SUM(T109:X109)</f>
        <v>27</v>
      </c>
      <c r="AA109" s="97">
        <f>IF(C109=2007, Z109/3,Z109)+Y109</f>
        <v>9</v>
      </c>
      <c r="AB109" s="22"/>
      <c r="AC109" s="13"/>
      <c r="AD109" s="13"/>
      <c r="AE109" s="13"/>
      <c r="AF109" s="13"/>
      <c r="AG109" s="13"/>
      <c r="AH109" s="13"/>
      <c r="AI109" s="13"/>
      <c r="AJ109" s="95"/>
      <c r="AK109" s="96"/>
      <c r="AL109" s="97"/>
    </row>
    <row r="110" spans="1:57" s="3" customFormat="1" x14ac:dyDescent="0.25">
      <c r="A110" s="60" t="s">
        <v>744</v>
      </c>
      <c r="B110" s="65" t="s">
        <v>63</v>
      </c>
      <c r="C110" s="62">
        <v>2007</v>
      </c>
      <c r="D110" s="1">
        <f>R110+E110+F110</f>
        <v>6.333333333333333</v>
      </c>
      <c r="E110" s="156"/>
      <c r="F110" s="156"/>
      <c r="G110" s="122"/>
      <c r="H110" s="156"/>
      <c r="I110" s="205"/>
      <c r="J110" s="196"/>
      <c r="K110" s="186"/>
      <c r="L110" s="170"/>
      <c r="M110" s="50"/>
      <c r="N110" s="50"/>
      <c r="O110" s="219">
        <f>AA110</f>
        <v>6.333333333333333</v>
      </c>
      <c r="P110" s="120"/>
      <c r="Q110" s="96">
        <f>I110+J110+K110+L110+M110+N110+O110</f>
        <v>6.333333333333333</v>
      </c>
      <c r="R110" s="97">
        <f>IF(C110=2008, Q110/3,Q110)+P110</f>
        <v>6.333333333333333</v>
      </c>
      <c r="S110" s="22"/>
      <c r="T110" s="50">
        <f>13+6</f>
        <v>19</v>
      </c>
      <c r="U110" s="50"/>
      <c r="V110" s="50"/>
      <c r="W110" s="50"/>
      <c r="X110" s="50"/>
      <c r="Y110" s="120"/>
      <c r="Z110" s="96">
        <f>SUM(T110:X110)</f>
        <v>19</v>
      </c>
      <c r="AA110" s="97">
        <f>IF(C110=2007, Z110/3,Z110)+Y110</f>
        <v>6.333333333333333</v>
      </c>
      <c r="AB110" s="22"/>
      <c r="AC110" s="13"/>
      <c r="AD110" s="13"/>
      <c r="AE110" s="13"/>
      <c r="AF110" s="13"/>
      <c r="AG110" s="13"/>
      <c r="AH110" s="13"/>
      <c r="AI110" s="13"/>
      <c r="AJ110" s="95"/>
      <c r="AK110" s="96"/>
      <c r="AL110" s="97"/>
    </row>
    <row r="111" spans="1:57" s="3" customFormat="1" x14ac:dyDescent="0.25">
      <c r="A111" s="60" t="s">
        <v>527</v>
      </c>
      <c r="B111" s="65" t="s">
        <v>7</v>
      </c>
      <c r="C111" s="62">
        <v>2007</v>
      </c>
      <c r="D111" s="1">
        <f>R111+E111+F111</f>
        <v>0.66666666666666663</v>
      </c>
      <c r="E111" s="108"/>
      <c r="F111" s="108"/>
      <c r="G111" s="122"/>
      <c r="H111" s="108"/>
      <c r="I111" s="205"/>
      <c r="J111" s="196"/>
      <c r="K111" s="170"/>
      <c r="L111" s="150"/>
      <c r="M111" s="50"/>
      <c r="N111" s="50"/>
      <c r="O111" s="219">
        <f>AA111</f>
        <v>0.66666666666666663</v>
      </c>
      <c r="P111" s="120"/>
      <c r="Q111" s="96">
        <f>I111+J111+K111+L111+M111+N111+O111</f>
        <v>0.66666666666666663</v>
      </c>
      <c r="R111" s="97">
        <f>IF(C111=2008, Q111/3,Q111)+P111</f>
        <v>0.66666666666666663</v>
      </c>
      <c r="S111" s="22"/>
      <c r="T111" s="50"/>
      <c r="U111" s="50">
        <f>0</f>
        <v>0</v>
      </c>
      <c r="V111" s="50"/>
      <c r="W111" s="50">
        <f>0</f>
        <v>0</v>
      </c>
      <c r="X111" s="50">
        <f>AL111</f>
        <v>2</v>
      </c>
      <c r="Y111" s="120"/>
      <c r="Z111" s="96">
        <f>SUM(T111:X111)</f>
        <v>2</v>
      </c>
      <c r="AA111" s="97">
        <f>IF(C111=2007, Z111/3,Z111)+Y111</f>
        <v>0.66666666666666663</v>
      </c>
      <c r="AB111" s="22"/>
      <c r="AC111" s="13"/>
      <c r="AD111" s="13"/>
      <c r="AE111" s="13"/>
      <c r="AF111" s="13"/>
      <c r="AG111" s="13"/>
      <c r="AH111" s="13">
        <f>2</f>
        <v>2</v>
      </c>
      <c r="AI111" s="13"/>
      <c r="AJ111" s="95"/>
      <c r="AK111" s="96">
        <f>SUM(AC111:AI111)</f>
        <v>2</v>
      </c>
      <c r="AL111" s="97">
        <f>IF(C111=2010, AK111/3,AK111)+AJ111</f>
        <v>2</v>
      </c>
    </row>
    <row r="112" spans="1:57" x14ac:dyDescent="0.25">
      <c r="A112" s="60" t="s">
        <v>160</v>
      </c>
      <c r="B112" s="85" t="s">
        <v>64</v>
      </c>
      <c r="C112" s="62">
        <v>2008</v>
      </c>
      <c r="D112" s="1">
        <f>R112+E112+F112</f>
        <v>73</v>
      </c>
      <c r="G112" s="154"/>
      <c r="I112" s="205"/>
      <c r="J112" s="196"/>
      <c r="K112" s="186"/>
      <c r="L112" s="170"/>
      <c r="M112" s="50">
        <f>18+3</f>
        <v>21</v>
      </c>
      <c r="N112" s="50">
        <f>0</f>
        <v>0</v>
      </c>
      <c r="O112" s="219">
        <f>AA112</f>
        <v>180</v>
      </c>
      <c r="P112" s="120">
        <f>6</f>
        <v>6</v>
      </c>
      <c r="Q112" s="96">
        <f>I112+J112+K112+L112+M112+N112+O112</f>
        <v>201</v>
      </c>
      <c r="R112" s="97">
        <f>IF(C112=2008, Q112/3,Q112)+P112</f>
        <v>73</v>
      </c>
      <c r="S112" s="22"/>
      <c r="T112" s="50"/>
      <c r="U112" s="50">
        <f>12</f>
        <v>12</v>
      </c>
      <c r="V112" s="50">
        <f>162</f>
        <v>162</v>
      </c>
      <c r="W112" s="50">
        <f>0+6</f>
        <v>6</v>
      </c>
      <c r="X112" s="50">
        <f>AL112</f>
        <v>0</v>
      </c>
      <c r="Y112" s="120"/>
      <c r="Z112" s="96">
        <f>SUM(T112:X112)</f>
        <v>180</v>
      </c>
      <c r="AA112" s="97">
        <f>IF(C112=2011, Z112/3,Z112)+Y112</f>
        <v>180</v>
      </c>
      <c r="AB112" s="22"/>
      <c r="AC112" s="13"/>
      <c r="AD112" s="13">
        <v>0</v>
      </c>
      <c r="AE112" s="13"/>
      <c r="AF112" s="13"/>
      <c r="AG112" s="13"/>
      <c r="AH112" s="13"/>
      <c r="AI112" s="13"/>
      <c r="AJ112" s="95"/>
      <c r="AK112" s="96">
        <f>SUM(AC112:AI112)</f>
        <v>0</v>
      </c>
      <c r="AL112" s="97">
        <f>IF(C112=2010, AK112/3,AK112)+AJ112</f>
        <v>0</v>
      </c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spans="1:57" x14ac:dyDescent="0.25">
      <c r="A113" s="60" t="s">
        <v>367</v>
      </c>
      <c r="B113" s="85" t="s">
        <v>7</v>
      </c>
      <c r="C113" s="62">
        <v>2006</v>
      </c>
      <c r="D113" s="1">
        <f>R113+E113+F113</f>
        <v>0</v>
      </c>
      <c r="G113" s="154"/>
      <c r="I113" s="205"/>
      <c r="J113" s="196"/>
      <c r="K113" s="186"/>
      <c r="L113" s="205"/>
      <c r="M113" s="50"/>
      <c r="N113" s="50"/>
      <c r="O113" s="219">
        <f>AA113</f>
        <v>0</v>
      </c>
      <c r="P113" s="120"/>
      <c r="Q113" s="96">
        <f>I113+J113+K113+L113+M113+N113+O113</f>
        <v>0</v>
      </c>
      <c r="R113" s="97">
        <f>IF(C113=2008, Q113/3,Q113)+P113</f>
        <v>0</v>
      </c>
      <c r="S113" s="22"/>
      <c r="T113" s="50"/>
      <c r="U113" s="50"/>
      <c r="V113" s="50"/>
      <c r="W113" s="50"/>
      <c r="X113" s="50">
        <f>AL113</f>
        <v>0</v>
      </c>
      <c r="Y113" s="120"/>
      <c r="Z113" s="96">
        <f>SUM(T113:X113)</f>
        <v>0</v>
      </c>
      <c r="AA113" s="97">
        <f>IF(C113=2007, Z113/3,Z113)+Y113</f>
        <v>0</v>
      </c>
      <c r="AB113" s="22"/>
      <c r="AC113" s="13"/>
      <c r="AD113" s="13"/>
      <c r="AE113" s="13"/>
      <c r="AF113" s="13">
        <f>0</f>
        <v>0</v>
      </c>
      <c r="AG113" s="13"/>
      <c r="AH113" s="13"/>
      <c r="AI113" s="13"/>
      <c r="AJ113" s="95"/>
      <c r="AK113" s="96">
        <f>SUM(AC113:AI113)</f>
        <v>0</v>
      </c>
      <c r="AL113" s="97">
        <f>IF(C113=2006, AK113/3,AK113)+AJ113</f>
        <v>0</v>
      </c>
    </row>
    <row r="114" spans="1:57" s="3" customFormat="1" x14ac:dyDescent="0.25">
      <c r="A114" s="60" t="s">
        <v>506</v>
      </c>
      <c r="B114" s="85" t="s">
        <v>7</v>
      </c>
      <c r="C114" s="62">
        <v>2007</v>
      </c>
      <c r="D114" s="1">
        <f>R114+E114+F114</f>
        <v>6</v>
      </c>
      <c r="E114" s="156"/>
      <c r="F114" s="156"/>
      <c r="G114" s="122"/>
      <c r="H114" s="156"/>
      <c r="I114" s="205"/>
      <c r="J114" s="196"/>
      <c r="K114" s="186"/>
      <c r="L114" s="170"/>
      <c r="M114" s="50"/>
      <c r="N114" s="50"/>
      <c r="O114" s="219">
        <f>AA114</f>
        <v>6</v>
      </c>
      <c r="P114" s="120"/>
      <c r="Q114" s="96">
        <f>I114+J114+K114+L114+M114+N114+O114</f>
        <v>6</v>
      </c>
      <c r="R114" s="97">
        <f>IF(C114=2008, Q114/3,Q114)+P114</f>
        <v>6</v>
      </c>
      <c r="S114" s="22"/>
      <c r="T114" s="174"/>
      <c r="U114" s="174">
        <f>5</f>
        <v>5</v>
      </c>
      <c r="V114" s="50">
        <f>0</f>
        <v>0</v>
      </c>
      <c r="W114" s="50">
        <f>10</f>
        <v>10</v>
      </c>
      <c r="X114" s="50">
        <f>AL114</f>
        <v>3</v>
      </c>
      <c r="Y114" s="120"/>
      <c r="Z114" s="96">
        <f>SUM(T114:X114)</f>
        <v>18</v>
      </c>
      <c r="AA114" s="97">
        <f>IF(C114=2007, Z114/3,Z114)+Y114</f>
        <v>6</v>
      </c>
      <c r="AB114" s="22"/>
      <c r="AC114" s="13"/>
      <c r="AD114" s="13"/>
      <c r="AE114" s="13"/>
      <c r="AF114" s="13"/>
      <c r="AG114" s="13"/>
      <c r="AH114" s="13">
        <f>1+2</f>
        <v>3</v>
      </c>
      <c r="AI114" s="13"/>
      <c r="AJ114" s="95"/>
      <c r="AK114" s="96">
        <f>SUM(AC114:AI114)</f>
        <v>3</v>
      </c>
      <c r="AL114" s="97">
        <f>IF(C114=2010, AK114/3,AK114)+AJ114</f>
        <v>3</v>
      </c>
    </row>
    <row r="115" spans="1:57" s="3" customFormat="1" x14ac:dyDescent="0.25">
      <c r="A115" s="60" t="s">
        <v>865</v>
      </c>
      <c r="B115" s="65" t="s">
        <v>86</v>
      </c>
      <c r="C115" s="62">
        <v>2007</v>
      </c>
      <c r="D115" s="1">
        <f>R115+E115+F115</f>
        <v>21</v>
      </c>
      <c r="E115" s="233"/>
      <c r="F115" s="219"/>
      <c r="G115" s="154"/>
      <c r="H115" s="219"/>
      <c r="I115" s="205"/>
      <c r="J115" s="196"/>
      <c r="K115" s="186"/>
      <c r="L115" s="219"/>
      <c r="M115" s="50">
        <f>15+6</f>
        <v>21</v>
      </c>
      <c r="N115" s="50"/>
      <c r="O115" s="219">
        <f>AA115</f>
        <v>0</v>
      </c>
      <c r="P115" s="120"/>
      <c r="Q115" s="96">
        <f>I115+J115+K115+L115+M115+N115+O115</f>
        <v>21</v>
      </c>
      <c r="R115" s="97">
        <f>IF(C115=2008, Q115/3,Q115)+P115</f>
        <v>21</v>
      </c>
      <c r="S115" s="22"/>
      <c r="T115" s="50"/>
      <c r="U115" s="50"/>
      <c r="V115" s="50"/>
      <c r="W115" s="50"/>
      <c r="X115" s="50"/>
      <c r="Y115" s="120"/>
      <c r="Z115" s="96"/>
      <c r="AA115" s="97"/>
      <c r="AB115" s="22"/>
      <c r="AC115" s="13"/>
      <c r="AD115" s="13"/>
      <c r="AE115" s="13"/>
      <c r="AF115" s="13"/>
      <c r="AG115" s="13"/>
      <c r="AH115" s="13"/>
      <c r="AI115" s="13"/>
      <c r="AJ115" s="95"/>
      <c r="AK115" s="96"/>
      <c r="AL115" s="97"/>
    </row>
    <row r="116" spans="1:57" s="3" customFormat="1" x14ac:dyDescent="0.25">
      <c r="A116" s="11" t="s">
        <v>677</v>
      </c>
      <c r="B116" s="60" t="s">
        <v>479</v>
      </c>
      <c r="C116" s="62">
        <v>2007</v>
      </c>
      <c r="D116" s="1">
        <f>R116+E116+F116</f>
        <v>9</v>
      </c>
      <c r="E116" s="233"/>
      <c r="F116" s="219"/>
      <c r="G116" s="120"/>
      <c r="H116" s="219"/>
      <c r="I116" s="205"/>
      <c r="J116" s="196"/>
      <c r="K116" s="186"/>
      <c r="L116" s="170"/>
      <c r="M116" s="50"/>
      <c r="N116" s="50"/>
      <c r="O116" s="219">
        <f>AA116</f>
        <v>9</v>
      </c>
      <c r="P116" s="120"/>
      <c r="Q116" s="96">
        <f>I116+J116+K116+L116+M116+N116+O116</f>
        <v>9</v>
      </c>
      <c r="R116" s="97">
        <f>IF(C116=2008, Q116/3,Q116)+P116</f>
        <v>9</v>
      </c>
      <c r="S116" s="22"/>
      <c r="T116" s="191"/>
      <c r="U116" s="191">
        <f>6</f>
        <v>6</v>
      </c>
      <c r="V116" s="50">
        <f>21</f>
        <v>21</v>
      </c>
      <c r="W116" s="50"/>
      <c r="X116" s="50"/>
      <c r="Y116" s="120"/>
      <c r="Z116" s="96">
        <f>SUM(T116:X116)</f>
        <v>27</v>
      </c>
      <c r="AA116" s="97">
        <f>IF(C116=2007, Z116/3,Z116)+Y116</f>
        <v>9</v>
      </c>
      <c r="AB116" s="22"/>
      <c r="AC116" s="41"/>
      <c r="AD116" s="41"/>
      <c r="AE116" s="41"/>
      <c r="AF116" s="41"/>
      <c r="AG116" s="41"/>
      <c r="AH116" s="41"/>
      <c r="AI116" s="13"/>
      <c r="AJ116" s="95"/>
      <c r="AK116" s="96"/>
      <c r="AL116" s="97"/>
    </row>
    <row r="117" spans="1:57" s="3" customFormat="1" x14ac:dyDescent="0.25">
      <c r="A117" s="60" t="s">
        <v>383</v>
      </c>
      <c r="B117" s="85" t="s">
        <v>380</v>
      </c>
      <c r="C117" s="62">
        <v>2008</v>
      </c>
      <c r="D117" s="1">
        <f>R117+E117+F117</f>
        <v>5</v>
      </c>
      <c r="E117" s="233"/>
      <c r="F117" s="219"/>
      <c r="G117" s="120"/>
      <c r="H117" s="219"/>
      <c r="I117" s="205"/>
      <c r="J117" s="196"/>
      <c r="K117" s="186"/>
      <c r="L117" s="170"/>
      <c r="M117" s="50"/>
      <c r="N117" s="50"/>
      <c r="O117" s="219">
        <f>AA117</f>
        <v>15</v>
      </c>
      <c r="P117" s="120"/>
      <c r="Q117" s="96">
        <f>I117+J117+K117+L117+M117+N117+O117</f>
        <v>15</v>
      </c>
      <c r="R117" s="97">
        <f>IF(C117=2008, Q117/3,Q117)+P117</f>
        <v>5</v>
      </c>
      <c r="S117" s="22"/>
      <c r="T117" s="50"/>
      <c r="U117" s="50"/>
      <c r="V117" s="50"/>
      <c r="W117" s="50"/>
      <c r="X117" s="50">
        <f>AL117</f>
        <v>15</v>
      </c>
      <c r="Y117" s="120"/>
      <c r="Z117" s="96">
        <f>SUM(T117:X117)</f>
        <v>15</v>
      </c>
      <c r="AA117" s="97">
        <f>IF(C117=2011, Z117/3,Z117)+Y117</f>
        <v>15</v>
      </c>
      <c r="AB117" s="22"/>
      <c r="AC117" s="13"/>
      <c r="AD117" s="13"/>
      <c r="AE117" s="13"/>
      <c r="AF117" s="13">
        <f>15</f>
        <v>15</v>
      </c>
      <c r="AG117" s="13"/>
      <c r="AH117" s="13"/>
      <c r="AI117" s="13"/>
      <c r="AJ117" s="95"/>
      <c r="AK117" s="96">
        <f>SUM(AC117:AI117)</f>
        <v>15</v>
      </c>
      <c r="AL117" s="97">
        <f>IF(C117=2010, AK117/3,AK117)+AJ117</f>
        <v>15</v>
      </c>
    </row>
    <row r="118" spans="1:57" s="3" customFormat="1" x14ac:dyDescent="0.25">
      <c r="A118" s="60" t="s">
        <v>153</v>
      </c>
      <c r="B118" s="65" t="s">
        <v>86</v>
      </c>
      <c r="C118" s="62">
        <v>2007</v>
      </c>
      <c r="D118" s="1">
        <f>R118+E118+F118</f>
        <v>1.3333333333333333</v>
      </c>
      <c r="E118" s="233"/>
      <c r="F118" s="219"/>
      <c r="G118" s="154"/>
      <c r="H118" s="219"/>
      <c r="I118" s="205"/>
      <c r="J118" s="196"/>
      <c r="K118" s="186"/>
      <c r="L118" s="170"/>
      <c r="M118" s="50"/>
      <c r="N118" s="50"/>
      <c r="O118" s="219">
        <f>AA118</f>
        <v>1.3333333333333333</v>
      </c>
      <c r="P118" s="120"/>
      <c r="Q118" s="96">
        <f>I118+J118+K118+L118+M118+N118+O118</f>
        <v>1.3333333333333333</v>
      </c>
      <c r="R118" s="97">
        <f>IF(C118=2008, Q118/3,Q118)+P118</f>
        <v>1.3333333333333333</v>
      </c>
      <c r="S118" s="22"/>
      <c r="T118" s="205"/>
      <c r="U118" s="205"/>
      <c r="V118" s="50"/>
      <c r="W118" s="50"/>
      <c r="X118" s="50">
        <f>AL118</f>
        <v>4</v>
      </c>
      <c r="Y118" s="120"/>
      <c r="Z118" s="96">
        <f>SUM(T118:X118)</f>
        <v>4</v>
      </c>
      <c r="AA118" s="97">
        <f>IF(C118=2007, Z118/3,Z118)+Y118</f>
        <v>1.3333333333333333</v>
      </c>
      <c r="AB118" s="22"/>
      <c r="AC118" s="13"/>
      <c r="AD118" s="13">
        <v>4</v>
      </c>
      <c r="AE118" s="13"/>
      <c r="AF118" s="13">
        <f>0</f>
        <v>0</v>
      </c>
      <c r="AG118" s="13"/>
      <c r="AH118" s="13"/>
      <c r="AI118" s="13"/>
      <c r="AJ118" s="95"/>
      <c r="AK118" s="96">
        <f>SUM(AC118:AI118)</f>
        <v>4</v>
      </c>
      <c r="AL118" s="97">
        <f>IF(C118=2010, AK118/3,AK118)+AJ118</f>
        <v>4</v>
      </c>
    </row>
    <row r="119" spans="1:57" x14ac:dyDescent="0.25">
      <c r="A119" s="11" t="s">
        <v>809</v>
      </c>
      <c r="B119" s="60" t="s">
        <v>587</v>
      </c>
      <c r="C119" s="62">
        <v>2008</v>
      </c>
      <c r="D119" s="1">
        <f>R119+E119+F119</f>
        <v>4</v>
      </c>
      <c r="G119" s="120"/>
      <c r="I119" s="205"/>
      <c r="J119" s="196"/>
      <c r="K119" s="186"/>
      <c r="L119" s="170"/>
      <c r="M119" s="50"/>
      <c r="N119" s="50">
        <f>12</f>
        <v>12</v>
      </c>
      <c r="O119" s="219">
        <f>AA119</f>
        <v>0</v>
      </c>
      <c r="P119" s="120"/>
      <c r="Q119" s="96">
        <f>I119+J119+K119+L119+M119+N119+O119</f>
        <v>12</v>
      </c>
      <c r="R119" s="97">
        <f>IF(C119=2008, Q119/3,Q119)+P119</f>
        <v>4</v>
      </c>
      <c r="S119" s="22"/>
      <c r="T119" s="50"/>
      <c r="U119" s="50"/>
      <c r="V119" s="50"/>
      <c r="W119" s="50"/>
      <c r="X119" s="50"/>
      <c r="Y119" s="120"/>
      <c r="Z119" s="96"/>
      <c r="AA119" s="97"/>
      <c r="AB119" s="22"/>
      <c r="AC119" s="41"/>
      <c r="AD119" s="41"/>
      <c r="AE119" s="41"/>
      <c r="AF119" s="41"/>
      <c r="AG119" s="41"/>
      <c r="AH119" s="41"/>
      <c r="AI119" s="13"/>
      <c r="AJ119" s="95"/>
      <c r="AK119" s="96"/>
      <c r="AL119" s="97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</row>
    <row r="120" spans="1:57" s="3" customFormat="1" x14ac:dyDescent="0.25">
      <c r="A120" s="60" t="s">
        <v>355</v>
      </c>
      <c r="B120" s="65" t="s">
        <v>86</v>
      </c>
      <c r="C120" s="62">
        <v>2006</v>
      </c>
      <c r="D120" s="1">
        <f>R120+E120+F120</f>
        <v>0</v>
      </c>
      <c r="E120" s="233"/>
      <c r="F120" s="219"/>
      <c r="G120" s="154"/>
      <c r="H120" s="219"/>
      <c r="I120" s="205"/>
      <c r="J120" s="196"/>
      <c r="K120" s="186"/>
      <c r="L120" s="170"/>
      <c r="M120" s="50"/>
      <c r="N120" s="50"/>
      <c r="O120" s="219">
        <f>AA120</f>
        <v>0</v>
      </c>
      <c r="P120" s="120"/>
      <c r="Q120" s="96">
        <f>I120+J120+K120+L120+M120+N120+O120</f>
        <v>0</v>
      </c>
      <c r="R120" s="97">
        <f>IF(C120=2008, Q120/3,Q120)+P120</f>
        <v>0</v>
      </c>
      <c r="S120" s="22"/>
      <c r="T120" s="50"/>
      <c r="U120" s="50"/>
      <c r="V120" s="50"/>
      <c r="W120" s="50"/>
      <c r="X120" s="50">
        <f>AL120</f>
        <v>0</v>
      </c>
      <c r="Y120" s="120"/>
      <c r="Z120" s="96">
        <f>SUM(T120:X120)</f>
        <v>0</v>
      </c>
      <c r="AA120" s="97">
        <f>IF(C120=2007, Z120/3,Z120)+Y120</f>
        <v>0</v>
      </c>
      <c r="AB120" s="22"/>
      <c r="AC120" s="13"/>
      <c r="AD120" s="13"/>
      <c r="AE120" s="13"/>
      <c r="AF120" s="13">
        <f>0</f>
        <v>0</v>
      </c>
      <c r="AG120" s="13"/>
      <c r="AH120" s="13"/>
      <c r="AI120" s="13"/>
      <c r="AJ120" s="95"/>
      <c r="AK120" s="96">
        <f>SUM(AC120:AI120)</f>
        <v>0</v>
      </c>
      <c r="AL120" s="97">
        <f>IF(C120=2006, AK120/3,AK120)+AJ120</f>
        <v>0</v>
      </c>
    </row>
    <row r="121" spans="1:57" s="3" customFormat="1" x14ac:dyDescent="0.25">
      <c r="A121" s="60" t="s">
        <v>158</v>
      </c>
      <c r="B121" s="65" t="s">
        <v>63</v>
      </c>
      <c r="C121" s="62">
        <v>2006</v>
      </c>
      <c r="D121" s="1">
        <f>R121+E121+F121</f>
        <v>44.666666666666671</v>
      </c>
      <c r="E121" s="233"/>
      <c r="F121" s="219"/>
      <c r="G121" s="120"/>
      <c r="H121" s="219"/>
      <c r="I121" s="205"/>
      <c r="J121" s="196"/>
      <c r="K121" s="186"/>
      <c r="L121" s="170">
        <f>9</f>
        <v>9</v>
      </c>
      <c r="M121" s="50">
        <f>9</f>
        <v>9</v>
      </c>
      <c r="N121" s="50"/>
      <c r="O121" s="219">
        <f>AA121</f>
        <v>26.666666666666668</v>
      </c>
      <c r="P121" s="120"/>
      <c r="Q121" s="96">
        <f>I121+J121+K121+L121+M121+N121+O121</f>
        <v>44.666666666666671</v>
      </c>
      <c r="R121" s="97">
        <f>IF(C121=2008, Q121/3,Q121)+P121</f>
        <v>44.666666666666671</v>
      </c>
      <c r="S121" s="22"/>
      <c r="T121" s="219"/>
      <c r="U121" s="219"/>
      <c r="V121" s="50">
        <f>0</f>
        <v>0</v>
      </c>
      <c r="W121" s="50">
        <f>0+3</f>
        <v>3</v>
      </c>
      <c r="X121" s="50">
        <f>AL121</f>
        <v>23.666666666666668</v>
      </c>
      <c r="Y121" s="120"/>
      <c r="Z121" s="96">
        <f>SUM(T121:X121)</f>
        <v>26.666666666666668</v>
      </c>
      <c r="AA121" s="97">
        <f>IF(C121=2007, Z121/3,Z121)+Y121</f>
        <v>26.666666666666668</v>
      </c>
      <c r="AB121" s="22"/>
      <c r="AC121" s="13"/>
      <c r="AD121" s="13">
        <f>18+3</f>
        <v>21</v>
      </c>
      <c r="AE121" s="13"/>
      <c r="AF121" s="13">
        <f>10+3</f>
        <v>13</v>
      </c>
      <c r="AG121" s="13">
        <f>2</f>
        <v>2</v>
      </c>
      <c r="AH121" s="13">
        <f>8+3+6</f>
        <v>17</v>
      </c>
      <c r="AI121" s="13"/>
      <c r="AJ121" s="95">
        <f>6</f>
        <v>6</v>
      </c>
      <c r="AK121" s="96">
        <f>SUM(AC121:AI121)</f>
        <v>53</v>
      </c>
      <c r="AL121" s="97">
        <f>IF(C121=2006, AK121/3,AK121)+AJ121</f>
        <v>23.666666666666668</v>
      </c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</row>
    <row r="122" spans="1:57" s="3" customFormat="1" x14ac:dyDescent="0.25">
      <c r="A122" s="60" t="s">
        <v>538</v>
      </c>
      <c r="B122" s="65" t="s">
        <v>532</v>
      </c>
      <c r="C122" s="62">
        <v>2007</v>
      </c>
      <c r="D122" s="1">
        <f>R122+E122+F122</f>
        <v>6</v>
      </c>
      <c r="E122" s="233"/>
      <c r="F122" s="219"/>
      <c r="G122" s="154"/>
      <c r="H122" s="219"/>
      <c r="I122" s="205"/>
      <c r="J122" s="196"/>
      <c r="K122" s="186"/>
      <c r="L122" s="170"/>
      <c r="M122" s="50"/>
      <c r="N122" s="50"/>
      <c r="O122" s="219">
        <f>AA122</f>
        <v>6</v>
      </c>
      <c r="P122" s="120"/>
      <c r="Q122" s="96">
        <f>I122+J122+K122+L122+M122+N122+O122</f>
        <v>6</v>
      </c>
      <c r="R122" s="97">
        <f>IF(C122=2008, Q122/3,Q122)+P122</f>
        <v>6</v>
      </c>
      <c r="S122" s="22"/>
      <c r="T122" s="50"/>
      <c r="U122" s="50">
        <f>18</f>
        <v>18</v>
      </c>
      <c r="V122" s="50"/>
      <c r="W122" s="50"/>
      <c r="X122" s="50">
        <f>AL122</f>
        <v>0</v>
      </c>
      <c r="Y122" s="120"/>
      <c r="Z122" s="96">
        <f>SUM(T122:X122)</f>
        <v>18</v>
      </c>
      <c r="AA122" s="97">
        <f>IF(C122=2007, Z122/3,Z122)+Y122</f>
        <v>6</v>
      </c>
      <c r="AB122" s="22"/>
      <c r="AC122" s="13"/>
      <c r="AD122" s="13"/>
      <c r="AE122" s="13"/>
      <c r="AF122" s="13"/>
      <c r="AG122" s="13"/>
      <c r="AH122" s="13">
        <f>0</f>
        <v>0</v>
      </c>
      <c r="AI122" s="13"/>
      <c r="AJ122" s="95"/>
      <c r="AK122" s="96">
        <f>SUM(AC122:AI122)</f>
        <v>0</v>
      </c>
      <c r="AL122" s="97">
        <f>IF(C122=2010, AK122/3,AK122)+AJ122</f>
        <v>0</v>
      </c>
    </row>
    <row r="123" spans="1:57" x14ac:dyDescent="0.25">
      <c r="A123" s="60" t="s">
        <v>166</v>
      </c>
      <c r="B123" s="65" t="s">
        <v>63</v>
      </c>
      <c r="C123" s="62">
        <v>2006</v>
      </c>
      <c r="D123" s="1">
        <f>R123+E123+F123</f>
        <v>67.666666666666671</v>
      </c>
      <c r="G123" s="154"/>
      <c r="I123" s="205"/>
      <c r="J123" s="196"/>
      <c r="K123" s="186"/>
      <c r="L123" s="170">
        <f>9</f>
        <v>9</v>
      </c>
      <c r="M123" s="50">
        <f>9</f>
        <v>9</v>
      </c>
      <c r="N123" s="50"/>
      <c r="O123" s="219">
        <f>AA123</f>
        <v>49.666666666666671</v>
      </c>
      <c r="P123" s="120"/>
      <c r="Q123" s="96">
        <f>I123+J123+K123+L123+M123+N123+O123</f>
        <v>67.666666666666671</v>
      </c>
      <c r="R123" s="97">
        <f>IF(C123=2008, Q123/3,Q123)+P123</f>
        <v>67.666666666666671</v>
      </c>
      <c r="S123" s="22"/>
      <c r="T123" s="50"/>
      <c r="U123" s="50"/>
      <c r="V123" s="50">
        <f>6</f>
        <v>6</v>
      </c>
      <c r="W123" s="50">
        <f>6+3</f>
        <v>9</v>
      </c>
      <c r="X123" s="50">
        <f>AL123</f>
        <v>34.666666666666671</v>
      </c>
      <c r="Y123" s="120"/>
      <c r="Z123" s="96">
        <f>SUM(T123:X123)</f>
        <v>49.666666666666671</v>
      </c>
      <c r="AA123" s="97">
        <f>IF(C123=2007, Z123/3,Z123)+Y123</f>
        <v>49.666666666666671</v>
      </c>
      <c r="AB123" s="22"/>
      <c r="AC123" s="13"/>
      <c r="AD123" s="13">
        <f>22+3</f>
        <v>25</v>
      </c>
      <c r="AE123" s="13">
        <f>4</f>
        <v>4</v>
      </c>
      <c r="AF123" s="13">
        <f>17+3</f>
        <v>20</v>
      </c>
      <c r="AG123" s="13">
        <f>10</f>
        <v>10</v>
      </c>
      <c r="AH123" s="13">
        <f>18+3+6</f>
        <v>27</v>
      </c>
      <c r="AI123" s="13"/>
      <c r="AJ123" s="95">
        <f>6</f>
        <v>6</v>
      </c>
      <c r="AK123" s="96">
        <f>SUM(AC123:AI123)</f>
        <v>86</v>
      </c>
      <c r="AL123" s="97">
        <f>IF(C123=2006, AK123/3,AK123)+AJ123</f>
        <v>34.666666666666671</v>
      </c>
    </row>
    <row r="124" spans="1:57" x14ac:dyDescent="0.25">
      <c r="A124" s="60" t="s">
        <v>154</v>
      </c>
      <c r="B124" s="65" t="s">
        <v>86</v>
      </c>
      <c r="C124" s="62">
        <v>2007</v>
      </c>
      <c r="D124" s="1">
        <f>R124+E124+F124</f>
        <v>5.333333333333333</v>
      </c>
      <c r="E124" s="108"/>
      <c r="F124" s="108"/>
      <c r="G124" s="122"/>
      <c r="H124" s="108"/>
      <c r="I124" s="205"/>
      <c r="J124" s="196"/>
      <c r="K124" s="186"/>
      <c r="L124" s="170"/>
      <c r="M124" s="50"/>
      <c r="N124" s="50"/>
      <c r="O124" s="219">
        <f>AA124</f>
        <v>5.333333333333333</v>
      </c>
      <c r="P124" s="120"/>
      <c r="Q124" s="96">
        <f>I124+J124+K124+L124+M124+N124+O124</f>
        <v>5.333333333333333</v>
      </c>
      <c r="R124" s="97">
        <f>IF(C124=2008, Q124/3,Q124)+P124</f>
        <v>5.333333333333333</v>
      </c>
      <c r="S124" s="22"/>
      <c r="T124" s="50"/>
      <c r="U124" s="50"/>
      <c r="V124" s="50"/>
      <c r="W124" s="50"/>
      <c r="X124" s="50">
        <f>AL124</f>
        <v>16</v>
      </c>
      <c r="Y124" s="120"/>
      <c r="Z124" s="96">
        <f>SUM(T124:X124)</f>
        <v>16</v>
      </c>
      <c r="AA124" s="97">
        <f>IF(C124=2007, Z124/3,Z124)+Y124</f>
        <v>5.333333333333333</v>
      </c>
      <c r="AB124" s="22"/>
      <c r="AC124" s="13"/>
      <c r="AD124" s="13">
        <v>4</v>
      </c>
      <c r="AE124" s="13"/>
      <c r="AF124" s="13">
        <f>12</f>
        <v>12</v>
      </c>
      <c r="AG124" s="13"/>
      <c r="AH124" s="13"/>
      <c r="AI124" s="13"/>
      <c r="AJ124" s="95"/>
      <c r="AK124" s="96">
        <f>SUM(AC124:AI124)</f>
        <v>16</v>
      </c>
      <c r="AL124" s="97">
        <f>IF(C124=2010, AK124/3,AK124)+AJ124</f>
        <v>16</v>
      </c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</row>
    <row r="125" spans="1:57" x14ac:dyDescent="0.25">
      <c r="A125" s="11" t="s">
        <v>813</v>
      </c>
      <c r="B125" s="60" t="s">
        <v>587</v>
      </c>
      <c r="C125" s="62">
        <v>2008</v>
      </c>
      <c r="D125" s="1">
        <f>R125+E125+F125</f>
        <v>4</v>
      </c>
      <c r="G125" s="154"/>
      <c r="I125" s="205"/>
      <c r="J125" s="196"/>
      <c r="K125" s="186"/>
      <c r="L125" s="170"/>
      <c r="M125" s="50"/>
      <c r="N125" s="50">
        <f>12</f>
        <v>12</v>
      </c>
      <c r="O125" s="219">
        <f>AA125</f>
        <v>0</v>
      </c>
      <c r="P125" s="120"/>
      <c r="Q125" s="96">
        <f>I125+J125+K125+L125+M125+N125+O125</f>
        <v>12</v>
      </c>
      <c r="R125" s="97">
        <f>IF(C125=2008, Q125/3,Q125)+P125</f>
        <v>4</v>
      </c>
      <c r="S125" s="22"/>
      <c r="T125" s="50"/>
      <c r="U125" s="50"/>
      <c r="V125" s="50"/>
      <c r="W125" s="50"/>
      <c r="X125" s="50"/>
      <c r="Y125" s="120"/>
      <c r="Z125" s="96"/>
      <c r="AA125" s="97"/>
      <c r="AB125" s="22"/>
      <c r="AC125" s="41"/>
      <c r="AD125" s="41"/>
      <c r="AE125" s="41"/>
      <c r="AF125" s="41"/>
      <c r="AG125" s="41"/>
      <c r="AH125" s="41"/>
      <c r="AI125" s="13"/>
      <c r="AJ125" s="95"/>
      <c r="AK125" s="96"/>
      <c r="AL125" s="97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</row>
    <row r="126" spans="1:57" x14ac:dyDescent="0.25">
      <c r="A126" s="11" t="s">
        <v>914</v>
      </c>
      <c r="B126" s="65" t="s">
        <v>63</v>
      </c>
      <c r="C126" s="62">
        <v>2008</v>
      </c>
      <c r="D126" s="1">
        <f>R126+E126+F126</f>
        <v>0</v>
      </c>
      <c r="E126" s="156"/>
      <c r="F126" s="156"/>
      <c r="G126" s="122"/>
      <c r="H126" s="156"/>
      <c r="I126" s="205"/>
      <c r="J126" s="196"/>
      <c r="K126" s="186"/>
      <c r="L126" s="170">
        <f>0</f>
        <v>0</v>
      </c>
      <c r="M126" s="50"/>
      <c r="N126" s="50"/>
      <c r="O126" s="219">
        <f>AA126</f>
        <v>0</v>
      </c>
      <c r="P126" s="120"/>
      <c r="Q126" s="96">
        <f>I126+J126+K126+L126+M126+N126+O126</f>
        <v>0</v>
      </c>
      <c r="R126" s="97">
        <f>IF(C126=2008, Q126/3,Q126)+P126</f>
        <v>0</v>
      </c>
      <c r="S126" s="22"/>
      <c r="T126" s="50"/>
      <c r="U126" s="50"/>
      <c r="V126" s="50"/>
      <c r="W126" s="50"/>
      <c r="X126" s="50"/>
      <c r="Y126" s="120"/>
      <c r="Z126" s="96"/>
      <c r="AA126" s="97"/>
      <c r="AB126" s="22"/>
      <c r="AC126" s="41"/>
      <c r="AD126" s="41"/>
      <c r="AE126" s="41"/>
      <c r="AF126" s="41"/>
      <c r="AG126" s="41"/>
      <c r="AH126" s="41"/>
      <c r="AI126" s="13"/>
      <c r="AJ126" s="95"/>
      <c r="AK126" s="96"/>
      <c r="AL126" s="97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</row>
    <row r="127" spans="1:57" s="3" customFormat="1" x14ac:dyDescent="0.25">
      <c r="A127" s="60" t="s">
        <v>149</v>
      </c>
      <c r="B127" s="65" t="s">
        <v>86</v>
      </c>
      <c r="C127" s="62">
        <v>2006</v>
      </c>
      <c r="D127" s="1">
        <f>R127+E127+F127</f>
        <v>0</v>
      </c>
      <c r="E127" s="233"/>
      <c r="F127" s="219"/>
      <c r="G127" s="120"/>
      <c r="H127" s="219"/>
      <c r="I127" s="205"/>
      <c r="J127" s="196"/>
      <c r="K127" s="186"/>
      <c r="L127" s="170"/>
      <c r="M127" s="50"/>
      <c r="N127" s="50"/>
      <c r="O127" s="219">
        <f>AA127</f>
        <v>0</v>
      </c>
      <c r="P127" s="120"/>
      <c r="Q127" s="96">
        <f>I127+J127+K127+L127+M127+N127+O127</f>
        <v>0</v>
      </c>
      <c r="R127" s="97">
        <f>IF(C127=2008, Q127/3,Q127)+P127</f>
        <v>0</v>
      </c>
      <c r="S127" s="22"/>
      <c r="T127" s="50"/>
      <c r="U127" s="50"/>
      <c r="V127" s="50"/>
      <c r="W127" s="50"/>
      <c r="X127" s="50">
        <f>AL127</f>
        <v>0</v>
      </c>
      <c r="Y127" s="120"/>
      <c r="Z127" s="96">
        <f>SUM(T127:X127)</f>
        <v>0</v>
      </c>
      <c r="AA127" s="97">
        <f>IF(C127=2007, Z127/3,Z127)+Y127</f>
        <v>0</v>
      </c>
      <c r="AB127" s="22"/>
      <c r="AC127" s="13"/>
      <c r="AD127" s="13">
        <v>0</v>
      </c>
      <c r="AE127" s="13"/>
      <c r="AF127" s="13">
        <f>0</f>
        <v>0</v>
      </c>
      <c r="AG127" s="13"/>
      <c r="AH127" s="13"/>
      <c r="AI127" s="13"/>
      <c r="AJ127" s="95"/>
      <c r="AK127" s="96">
        <f>SUM(AC127:AI127)</f>
        <v>0</v>
      </c>
      <c r="AL127" s="97">
        <f>IF(C127=2006, AK127/3,AK127)+AJ127</f>
        <v>0</v>
      </c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</row>
    <row r="128" spans="1:57" s="17" customFormat="1" x14ac:dyDescent="0.25">
      <c r="A128" s="60" t="s">
        <v>163</v>
      </c>
      <c r="B128" s="65" t="s">
        <v>63</v>
      </c>
      <c r="C128" s="62">
        <v>2006</v>
      </c>
      <c r="D128" s="1">
        <f>R128+E128+F128</f>
        <v>0</v>
      </c>
      <c r="E128" s="233"/>
      <c r="F128" s="219"/>
      <c r="G128" s="154"/>
      <c r="H128" s="219"/>
      <c r="I128" s="205"/>
      <c r="J128" s="196"/>
      <c r="K128" s="186"/>
      <c r="L128" s="170"/>
      <c r="M128" s="50"/>
      <c r="N128" s="50"/>
      <c r="O128" s="219">
        <f>AA128</f>
        <v>0</v>
      </c>
      <c r="P128" s="120"/>
      <c r="Q128" s="96">
        <f>I128+J128+K128+L128+M128+N128+O128</f>
        <v>0</v>
      </c>
      <c r="R128" s="97">
        <f>IF(C128=2008, Q128/3,Q128)+P128</f>
        <v>0</v>
      </c>
      <c r="S128" s="22"/>
      <c r="T128" s="50"/>
      <c r="U128" s="50"/>
      <c r="V128" s="50"/>
      <c r="W128" s="50"/>
      <c r="X128" s="50">
        <f>AL128</f>
        <v>0</v>
      </c>
      <c r="Y128" s="120"/>
      <c r="Z128" s="96">
        <f>SUM(T128:X128)</f>
        <v>0</v>
      </c>
      <c r="AA128" s="97">
        <f>IF(C128=2007, Z128/3,Z128)+Y128</f>
        <v>0</v>
      </c>
      <c r="AB128" s="22"/>
      <c r="AC128" s="13"/>
      <c r="AD128" s="13">
        <v>0</v>
      </c>
      <c r="AE128" s="13"/>
      <c r="AF128" s="13"/>
      <c r="AG128" s="13"/>
      <c r="AH128" s="13"/>
      <c r="AI128" s="13"/>
      <c r="AJ128" s="95"/>
      <c r="AK128" s="96">
        <f>SUM(AC128:AI128)</f>
        <v>0</v>
      </c>
      <c r="AL128" s="97">
        <f>IF(C128=2006, AK128/3,AK128)+AJ128</f>
        <v>0</v>
      </c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</row>
    <row r="129" spans="1:57" x14ac:dyDescent="0.25">
      <c r="A129" s="60" t="s">
        <v>346</v>
      </c>
      <c r="B129" s="65" t="s">
        <v>86</v>
      </c>
      <c r="C129" s="62">
        <v>2007</v>
      </c>
      <c r="D129" s="1">
        <f>R129+E129+F129</f>
        <v>32.333333333333336</v>
      </c>
      <c r="G129" s="154"/>
      <c r="I129" s="205"/>
      <c r="J129" s="196"/>
      <c r="K129" s="186"/>
      <c r="L129" s="170"/>
      <c r="M129" s="50">
        <f>12+6+6</f>
        <v>24</v>
      </c>
      <c r="N129" s="50"/>
      <c r="O129" s="219">
        <f>AA129</f>
        <v>8.3333333333333339</v>
      </c>
      <c r="P129" s="120"/>
      <c r="Q129" s="96">
        <f>I129+J129+K129+L129+M129+N129+O129</f>
        <v>32.333333333333336</v>
      </c>
      <c r="R129" s="97">
        <f>IF(C129=2008, Q129/3,Q129)+P129</f>
        <v>32.333333333333336</v>
      </c>
      <c r="S129" s="22"/>
      <c r="T129" s="50"/>
      <c r="U129" s="50"/>
      <c r="V129" s="50"/>
      <c r="W129" s="50"/>
      <c r="X129" s="50">
        <f>AL129</f>
        <v>25</v>
      </c>
      <c r="Y129" s="120"/>
      <c r="Z129" s="96">
        <f>SUM(T129:X129)</f>
        <v>25</v>
      </c>
      <c r="AA129" s="97">
        <f>IF(C129=2007, Z129/3,Z129)+Y129</f>
        <v>8.3333333333333339</v>
      </c>
      <c r="AB129" s="22"/>
      <c r="AC129" s="13"/>
      <c r="AD129" s="13"/>
      <c r="AE129" s="13"/>
      <c r="AF129" s="13">
        <f>21+4</f>
        <v>25</v>
      </c>
      <c r="AG129" s="13"/>
      <c r="AH129" s="13"/>
      <c r="AI129" s="13"/>
      <c r="AJ129" s="95"/>
      <c r="AK129" s="96">
        <f>SUM(AC129:AI129)</f>
        <v>25</v>
      </c>
      <c r="AL129" s="97">
        <f>IF(C129=2010, AK129/3,AK129)+AJ129</f>
        <v>25</v>
      </c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</row>
    <row r="130" spans="1:57" s="27" customFormat="1" x14ac:dyDescent="0.25">
      <c r="A130" s="60" t="s">
        <v>200</v>
      </c>
      <c r="B130" s="65" t="s">
        <v>63</v>
      </c>
      <c r="C130" s="62">
        <v>2006</v>
      </c>
      <c r="D130" s="1">
        <f>R130+E130+F130</f>
        <v>4.333333333333333</v>
      </c>
      <c r="E130" s="233"/>
      <c r="F130" s="219"/>
      <c r="G130" s="120"/>
      <c r="H130" s="219"/>
      <c r="I130" s="205"/>
      <c r="J130" s="196"/>
      <c r="K130" s="186"/>
      <c r="L130" s="170"/>
      <c r="M130" s="50"/>
      <c r="N130" s="50"/>
      <c r="O130" s="219">
        <f>AA130</f>
        <v>4.333333333333333</v>
      </c>
      <c r="P130" s="120"/>
      <c r="Q130" s="96">
        <f>I130+J130+K130+L130+M130+N130+O130</f>
        <v>4.333333333333333</v>
      </c>
      <c r="R130" s="97">
        <f>IF(C130=2008, Q130/3,Q130)+P130</f>
        <v>4.333333333333333</v>
      </c>
      <c r="S130" s="22"/>
      <c r="T130" s="50"/>
      <c r="U130" s="50"/>
      <c r="V130" s="50"/>
      <c r="W130" s="50"/>
      <c r="X130" s="50">
        <f>AL130</f>
        <v>4.333333333333333</v>
      </c>
      <c r="Y130" s="120"/>
      <c r="Z130" s="96">
        <f>SUM(T130:X130)</f>
        <v>4.333333333333333</v>
      </c>
      <c r="AA130" s="97">
        <f>IF(C130=2007, Z130/3,Z130)+Y130</f>
        <v>4.333333333333333</v>
      </c>
      <c r="AB130" s="22"/>
      <c r="AC130" s="13"/>
      <c r="AD130" s="13">
        <v>0</v>
      </c>
      <c r="AE130" s="13"/>
      <c r="AF130" s="13">
        <f>6</f>
        <v>6</v>
      </c>
      <c r="AG130" s="13"/>
      <c r="AH130" s="13"/>
      <c r="AI130" s="13">
        <v>7</v>
      </c>
      <c r="AJ130" s="95"/>
      <c r="AK130" s="96">
        <f>SUM(AC130:AI130)</f>
        <v>13</v>
      </c>
      <c r="AL130" s="97">
        <f>IF(C130=2006, AK130/3,AK130)+AJ130</f>
        <v>4.333333333333333</v>
      </c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</row>
    <row r="131" spans="1:57" s="3" customFormat="1" x14ac:dyDescent="0.25">
      <c r="A131" s="60" t="s">
        <v>193</v>
      </c>
      <c r="B131" s="65" t="s">
        <v>86</v>
      </c>
      <c r="C131" s="62">
        <v>2007</v>
      </c>
      <c r="D131" s="1">
        <f>R131+E131+F131</f>
        <v>21</v>
      </c>
      <c r="E131" s="233"/>
      <c r="F131" s="219"/>
      <c r="G131" s="154"/>
      <c r="H131" s="219"/>
      <c r="I131" s="205"/>
      <c r="J131" s="196"/>
      <c r="K131" s="186"/>
      <c r="L131" s="170"/>
      <c r="M131" s="50"/>
      <c r="N131" s="50"/>
      <c r="O131" s="219">
        <f>AA131</f>
        <v>21</v>
      </c>
      <c r="P131" s="120"/>
      <c r="Q131" s="96">
        <f>I131+J131+K131+L131+M131+N131+O131</f>
        <v>21</v>
      </c>
      <c r="R131" s="97">
        <f>IF(C131=2008, Q131/3,Q131)+P131</f>
        <v>21</v>
      </c>
      <c r="S131" s="22"/>
      <c r="T131" s="50"/>
      <c r="U131" s="50"/>
      <c r="V131" s="50"/>
      <c r="W131" s="50"/>
      <c r="X131" s="50">
        <f>AL131</f>
        <v>63</v>
      </c>
      <c r="Y131" s="120"/>
      <c r="Z131" s="96">
        <f>SUM(T131:X131)</f>
        <v>63</v>
      </c>
      <c r="AA131" s="97">
        <f>IF(C131=2007, Z131/3,Z131)+Y131</f>
        <v>21</v>
      </c>
      <c r="AB131" s="22"/>
      <c r="AC131" s="13"/>
      <c r="AD131" s="13">
        <v>24</v>
      </c>
      <c r="AE131" s="13"/>
      <c r="AF131" s="13">
        <f>30</f>
        <v>30</v>
      </c>
      <c r="AG131" s="13"/>
      <c r="AH131" s="13"/>
      <c r="AI131" s="13"/>
      <c r="AJ131" s="95">
        <f>9</f>
        <v>9</v>
      </c>
      <c r="AK131" s="96">
        <f>SUM(AC131:AI131)</f>
        <v>54</v>
      </c>
      <c r="AL131" s="97">
        <f>IF(C131=2010, AK131/3,AK131)+AJ131</f>
        <v>63</v>
      </c>
    </row>
    <row r="132" spans="1:57" s="3" customFormat="1" x14ac:dyDescent="0.25">
      <c r="A132" s="60" t="s">
        <v>461</v>
      </c>
      <c r="B132" s="85" t="s">
        <v>0</v>
      </c>
      <c r="C132" s="62">
        <v>2007</v>
      </c>
      <c r="D132" s="1">
        <f>R132+E132+F132</f>
        <v>72.666666666666657</v>
      </c>
      <c r="E132" s="233"/>
      <c r="F132" s="219"/>
      <c r="G132" s="154"/>
      <c r="H132" s="219"/>
      <c r="I132" s="205"/>
      <c r="J132" s="196"/>
      <c r="K132" s="186"/>
      <c r="L132" s="170">
        <f>0+3+3</f>
        <v>6</v>
      </c>
      <c r="M132" s="50">
        <f>8+6</f>
        <v>14</v>
      </c>
      <c r="N132" s="50">
        <f>8+3</f>
        <v>11</v>
      </c>
      <c r="O132" s="219">
        <f>AA132</f>
        <v>41.666666666666664</v>
      </c>
      <c r="P132" s="120"/>
      <c r="Q132" s="96">
        <f>I132+J132+K132+L132+M132+N132+O132</f>
        <v>72.666666666666657</v>
      </c>
      <c r="R132" s="97">
        <f>IF(C132=2008, Q132/3,Q132)+P132</f>
        <v>72.666666666666657</v>
      </c>
      <c r="S132" s="22"/>
      <c r="T132" s="50">
        <f>44</f>
        <v>44</v>
      </c>
      <c r="U132" s="50">
        <f>34</f>
        <v>34</v>
      </c>
      <c r="V132" s="50">
        <f>38</f>
        <v>38</v>
      </c>
      <c r="W132" s="50"/>
      <c r="X132" s="50">
        <f>AL132</f>
        <v>9</v>
      </c>
      <c r="Y132" s="120"/>
      <c r="Z132" s="96">
        <f>SUM(T132:X132)</f>
        <v>125</v>
      </c>
      <c r="AA132" s="97">
        <f>IF(C132=2007, Z132/3,Z132)+Y132</f>
        <v>41.666666666666664</v>
      </c>
      <c r="AB132" s="22"/>
      <c r="AC132" s="13"/>
      <c r="AD132" s="13"/>
      <c r="AE132" s="13"/>
      <c r="AF132" s="13"/>
      <c r="AG132" s="13">
        <f>6</f>
        <v>6</v>
      </c>
      <c r="AH132" s="13">
        <f>3</f>
        <v>3</v>
      </c>
      <c r="AI132" s="13"/>
      <c r="AJ132" s="95"/>
      <c r="AK132" s="96">
        <f>SUM(AC132:AI132)</f>
        <v>9</v>
      </c>
      <c r="AL132" s="97">
        <f>IF(C132=2010, AK132/3,AK132)+AJ132</f>
        <v>9</v>
      </c>
    </row>
    <row r="133" spans="1:57" s="3" customFormat="1" x14ac:dyDescent="0.25">
      <c r="A133" s="60" t="s">
        <v>186</v>
      </c>
      <c r="B133" s="85" t="s">
        <v>64</v>
      </c>
      <c r="C133" s="62">
        <v>2006</v>
      </c>
      <c r="D133" s="1">
        <f>R133+E133+F133</f>
        <v>177.66666666666666</v>
      </c>
      <c r="E133" s="233"/>
      <c r="F133" s="219"/>
      <c r="G133" s="154"/>
      <c r="H133" s="219"/>
      <c r="I133" s="205"/>
      <c r="J133" s="196">
        <f>3</f>
        <v>3</v>
      </c>
      <c r="K133" s="186"/>
      <c r="L133" s="170"/>
      <c r="M133" s="50">
        <f>15+15+3+3</f>
        <v>36</v>
      </c>
      <c r="N133" s="50">
        <f>21+3+3</f>
        <v>27</v>
      </c>
      <c r="O133" s="219">
        <f>AA133</f>
        <v>111.66666666666666</v>
      </c>
      <c r="P133" s="120"/>
      <c r="Q133" s="96">
        <f>I133+J133+K133+L133+M133+N133+O133</f>
        <v>177.66666666666666</v>
      </c>
      <c r="R133" s="97">
        <f>IF(C133=2008, Q133/3,Q133)+P133</f>
        <v>177.66666666666666</v>
      </c>
      <c r="S133" s="22"/>
      <c r="T133" s="50"/>
      <c r="U133" s="50">
        <f>0+3</f>
        <v>3</v>
      </c>
      <c r="V133" s="50">
        <f>24+9</f>
        <v>33</v>
      </c>
      <c r="W133" s="50">
        <f>21+6</f>
        <v>27</v>
      </c>
      <c r="X133" s="50">
        <f>AL133</f>
        <v>48.666666666666664</v>
      </c>
      <c r="Y133" s="120"/>
      <c r="Z133" s="96">
        <f>SUM(T133:X133)</f>
        <v>111.66666666666666</v>
      </c>
      <c r="AA133" s="97">
        <f>IF(C133=2007, Z133/3,Z133)+Y133</f>
        <v>111.66666666666666</v>
      </c>
      <c r="AB133" s="22"/>
      <c r="AC133" s="13"/>
      <c r="AD133" s="13">
        <v>51</v>
      </c>
      <c r="AE133" s="13"/>
      <c r="AF133" s="13"/>
      <c r="AG133" s="13"/>
      <c r="AH133" s="13"/>
      <c r="AI133" s="13">
        <f>95</f>
        <v>95</v>
      </c>
      <c r="AJ133" s="95"/>
      <c r="AK133" s="96">
        <f>SUM(AC133:AI133)</f>
        <v>146</v>
      </c>
      <c r="AL133" s="97">
        <f>IF(C133=2006, AK133/3,AK133)+AJ133</f>
        <v>48.666666666666664</v>
      </c>
    </row>
    <row r="134" spans="1:57" s="3" customFormat="1" x14ac:dyDescent="0.25">
      <c r="A134" s="60" t="s">
        <v>175</v>
      </c>
      <c r="B134" s="65" t="s">
        <v>86</v>
      </c>
      <c r="C134" s="62">
        <v>2008</v>
      </c>
      <c r="D134" s="1">
        <f>R134+E134+F134</f>
        <v>31</v>
      </c>
      <c r="E134" s="233"/>
      <c r="F134" s="219"/>
      <c r="G134" s="120"/>
      <c r="H134" s="219"/>
      <c r="I134" s="205"/>
      <c r="J134" s="196"/>
      <c r="K134" s="186"/>
      <c r="L134" s="170"/>
      <c r="M134" s="50">
        <f>3+6</f>
        <v>9</v>
      </c>
      <c r="N134" s="50"/>
      <c r="O134" s="219">
        <f>AA134</f>
        <v>84</v>
      </c>
      <c r="P134" s="120"/>
      <c r="Q134" s="96">
        <f>I134+J134+K134+L134+M134+N134+O134</f>
        <v>93</v>
      </c>
      <c r="R134" s="97">
        <f>IF(C134=2008, Q134/3,Q134)+P134</f>
        <v>31</v>
      </c>
      <c r="S134" s="22"/>
      <c r="T134" s="50"/>
      <c r="U134" s="50"/>
      <c r="V134" s="50"/>
      <c r="W134" s="50"/>
      <c r="X134" s="50">
        <f>AL134</f>
        <v>84</v>
      </c>
      <c r="Y134" s="120"/>
      <c r="Z134" s="96">
        <f>SUM(T134:X134)</f>
        <v>84</v>
      </c>
      <c r="AA134" s="97">
        <f>IF(C134=2011, Z134/3,Z134)+Y134</f>
        <v>84</v>
      </c>
      <c r="AB134" s="22"/>
      <c r="AC134" s="13"/>
      <c r="AD134" s="13">
        <f>42+9</f>
        <v>51</v>
      </c>
      <c r="AE134" s="13"/>
      <c r="AF134" s="13">
        <f>24+9</f>
        <v>33</v>
      </c>
      <c r="AG134" s="13"/>
      <c r="AH134" s="13"/>
      <c r="AI134" s="13"/>
      <c r="AJ134" s="95"/>
      <c r="AK134" s="96">
        <f>SUM(AC134:AI134)</f>
        <v>84</v>
      </c>
      <c r="AL134" s="97">
        <f>IF(C134=2010, AK134/3,AK134)+AJ134</f>
        <v>84</v>
      </c>
    </row>
    <row r="135" spans="1:57" x14ac:dyDescent="0.25">
      <c r="A135" s="60" t="s">
        <v>171</v>
      </c>
      <c r="B135" s="65" t="s">
        <v>87</v>
      </c>
      <c r="C135" s="62">
        <v>2008</v>
      </c>
      <c r="D135" s="1">
        <f>R135+E135+F135</f>
        <v>24</v>
      </c>
      <c r="G135" s="120"/>
      <c r="I135" s="205"/>
      <c r="J135" s="196"/>
      <c r="K135" s="186"/>
      <c r="L135" s="170"/>
      <c r="M135" s="50"/>
      <c r="N135" s="50"/>
      <c r="O135" s="219">
        <f>AA135</f>
        <v>72</v>
      </c>
      <c r="P135" s="120"/>
      <c r="Q135" s="96">
        <f>I135+J135+K135+L135+M135+N135+O135</f>
        <v>72</v>
      </c>
      <c r="R135" s="97">
        <f>IF(C135=2008, Q135/3,Q135)+P135</f>
        <v>24</v>
      </c>
      <c r="S135" s="22"/>
      <c r="T135" s="50"/>
      <c r="U135" s="50"/>
      <c r="V135" s="50"/>
      <c r="W135" s="50"/>
      <c r="X135" s="50">
        <f>AL135</f>
        <v>72</v>
      </c>
      <c r="Y135" s="120"/>
      <c r="Z135" s="96">
        <f>SUM(T135:X135)</f>
        <v>72</v>
      </c>
      <c r="AA135" s="97">
        <f>IF(C135=2011, Z135/3,Z135)+Y135</f>
        <v>72</v>
      </c>
      <c r="AB135" s="22"/>
      <c r="AC135" s="13"/>
      <c r="AD135" s="13">
        <f>57+15</f>
        <v>72</v>
      </c>
      <c r="AE135" s="13"/>
      <c r="AF135" s="13"/>
      <c r="AG135" s="13"/>
      <c r="AH135" s="13"/>
      <c r="AI135" s="13"/>
      <c r="AJ135" s="95"/>
      <c r="AK135" s="96">
        <f>SUM(AC135:AI135)</f>
        <v>72</v>
      </c>
      <c r="AL135" s="97">
        <f>IF(C135=2010, AK135/3,AK135)+AJ135</f>
        <v>72</v>
      </c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</row>
    <row r="136" spans="1:57" x14ac:dyDescent="0.25">
      <c r="A136" s="11" t="s">
        <v>916</v>
      </c>
      <c r="B136" s="65" t="s">
        <v>63</v>
      </c>
      <c r="C136" s="62">
        <v>2008</v>
      </c>
      <c r="D136" s="1">
        <f>R136+E136+F136</f>
        <v>0</v>
      </c>
      <c r="G136" s="154"/>
      <c r="I136" s="219"/>
      <c r="J136" s="219"/>
      <c r="K136" s="219"/>
      <c r="L136" s="219">
        <f>0</f>
        <v>0</v>
      </c>
      <c r="M136" s="219"/>
      <c r="N136" s="219"/>
      <c r="O136" s="219">
        <f>AA136</f>
        <v>0</v>
      </c>
      <c r="P136" s="120"/>
      <c r="Q136" s="96">
        <f>I136+J136+K136+L136+M136+N136+O136</f>
        <v>0</v>
      </c>
      <c r="R136" s="97">
        <f>IF(C136=2008, Q136/3,Q136)+P136</f>
        <v>0</v>
      </c>
      <c r="S136" s="22"/>
      <c r="T136" s="219"/>
      <c r="U136" s="219"/>
      <c r="V136" s="219"/>
      <c r="W136" s="219"/>
      <c r="X136" s="219"/>
      <c r="Y136" s="120"/>
      <c r="Z136" s="96"/>
      <c r="AA136" s="97"/>
      <c r="AB136" s="22"/>
      <c r="AC136" s="41"/>
      <c r="AD136" s="41"/>
      <c r="AE136" s="41"/>
      <c r="AF136" s="41"/>
      <c r="AG136" s="41"/>
      <c r="AH136" s="41"/>
      <c r="AI136" s="13"/>
      <c r="AJ136" s="95"/>
      <c r="AK136" s="96"/>
      <c r="AL136" s="97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</row>
    <row r="137" spans="1:57" s="3" customFormat="1" x14ac:dyDescent="0.25">
      <c r="A137" s="60" t="s">
        <v>511</v>
      </c>
      <c r="B137" s="85" t="s">
        <v>8</v>
      </c>
      <c r="C137" s="62">
        <v>2007</v>
      </c>
      <c r="D137" s="1">
        <f>R137+E137+F137</f>
        <v>30</v>
      </c>
      <c r="E137" s="233"/>
      <c r="F137" s="219"/>
      <c r="G137" s="120"/>
      <c r="H137" s="219"/>
      <c r="I137" s="205"/>
      <c r="J137" s="196"/>
      <c r="K137" s="186"/>
      <c r="L137" s="170"/>
      <c r="M137" s="50"/>
      <c r="N137" s="50"/>
      <c r="O137" s="219">
        <f>AA137</f>
        <v>30</v>
      </c>
      <c r="P137" s="120"/>
      <c r="Q137" s="96">
        <f>I137+J137+K137+L137+M137+N137+O137</f>
        <v>30</v>
      </c>
      <c r="R137" s="97">
        <f>IF(C137=2008, Q137/3,Q137)+P137</f>
        <v>30</v>
      </c>
      <c r="S137" s="22"/>
      <c r="T137" s="50"/>
      <c r="U137" s="50"/>
      <c r="V137" s="50">
        <f>14</f>
        <v>14</v>
      </c>
      <c r="W137" s="50"/>
      <c r="X137" s="50">
        <f>AL137</f>
        <v>76</v>
      </c>
      <c r="Y137" s="120"/>
      <c r="Z137" s="96">
        <f>SUM(T137:X137)</f>
        <v>90</v>
      </c>
      <c r="AA137" s="97">
        <f>IF(C137=2007, Z137/3,Z137)+Y137</f>
        <v>30</v>
      </c>
      <c r="AB137" s="22"/>
      <c r="AC137" s="13"/>
      <c r="AD137" s="13"/>
      <c r="AE137" s="13"/>
      <c r="AF137" s="13"/>
      <c r="AG137" s="13"/>
      <c r="AH137" s="13">
        <f>0</f>
        <v>0</v>
      </c>
      <c r="AI137" s="13">
        <f>70</f>
        <v>70</v>
      </c>
      <c r="AJ137" s="95">
        <f>6</f>
        <v>6</v>
      </c>
      <c r="AK137" s="96">
        <f>SUM(AC137:AI137)</f>
        <v>70</v>
      </c>
      <c r="AL137" s="97">
        <f>IF(C137=2010, AK137/3,AK137)+AJ137</f>
        <v>76</v>
      </c>
    </row>
    <row r="138" spans="1:57" s="17" customFormat="1" x14ac:dyDescent="0.25">
      <c r="A138" s="60" t="s">
        <v>531</v>
      </c>
      <c r="B138" s="65" t="s">
        <v>532</v>
      </c>
      <c r="C138" s="62">
        <v>2005</v>
      </c>
      <c r="D138" s="1">
        <f>R138+E138+F138</f>
        <v>15</v>
      </c>
      <c r="E138" s="233"/>
      <c r="F138" s="219"/>
      <c r="G138" s="154"/>
      <c r="H138" s="219"/>
      <c r="I138" s="205"/>
      <c r="J138" s="196"/>
      <c r="K138" s="186"/>
      <c r="L138" s="170"/>
      <c r="M138" s="50"/>
      <c r="N138" s="50"/>
      <c r="O138" s="219">
        <f>AA138</f>
        <v>15</v>
      </c>
      <c r="P138" s="120"/>
      <c r="Q138" s="96">
        <f>I138+J138+K138+L138+M138+N138+O138</f>
        <v>15</v>
      </c>
      <c r="R138" s="97">
        <f>IF(C138=2008, Q138/3,Q138)+P138</f>
        <v>15</v>
      </c>
      <c r="S138" s="22"/>
      <c r="T138" s="50"/>
      <c r="U138" s="50">
        <f>6</f>
        <v>6</v>
      </c>
      <c r="V138" s="50"/>
      <c r="W138" s="50"/>
      <c r="X138" s="50">
        <f>AL138</f>
        <v>9</v>
      </c>
      <c r="Y138" s="120"/>
      <c r="Z138" s="96">
        <f>SUM(T138:X138)</f>
        <v>15</v>
      </c>
      <c r="AA138" s="97">
        <f>IF(C138=2007, Z138/3,Z138)+Y138</f>
        <v>15</v>
      </c>
      <c r="AB138" s="22"/>
      <c r="AC138" s="26"/>
      <c r="AD138" s="26"/>
      <c r="AE138" s="26"/>
      <c r="AF138" s="26"/>
      <c r="AG138" s="26"/>
      <c r="AH138" s="26">
        <f>0</f>
        <v>0</v>
      </c>
      <c r="AI138" s="26">
        <f>9</f>
        <v>9</v>
      </c>
      <c r="AJ138" s="95"/>
      <c r="AK138" s="96">
        <f>SUM(AC138:AI138)</f>
        <v>9</v>
      </c>
      <c r="AL138" s="97">
        <f>IF(C138=2006, AK138/3,AK138)+AJ138</f>
        <v>9</v>
      </c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</row>
    <row r="139" spans="1:57" s="17" customFormat="1" x14ac:dyDescent="0.25">
      <c r="A139" s="61" t="s">
        <v>151</v>
      </c>
      <c r="B139" s="85" t="s">
        <v>64</v>
      </c>
      <c r="C139" s="63">
        <v>2008</v>
      </c>
      <c r="D139" s="1">
        <f>R139+E139+F139</f>
        <v>1.3333333333333333</v>
      </c>
      <c r="E139" s="233"/>
      <c r="F139" s="219"/>
      <c r="G139" s="154"/>
      <c r="H139" s="219"/>
      <c r="I139" s="205"/>
      <c r="J139" s="196"/>
      <c r="K139" s="186"/>
      <c r="L139" s="170"/>
      <c r="M139" s="50"/>
      <c r="N139" s="50"/>
      <c r="O139" s="219">
        <f>AA139</f>
        <v>4</v>
      </c>
      <c r="P139" s="120"/>
      <c r="Q139" s="96">
        <f>I139+J139+K139+L139+M139+N139+O139</f>
        <v>4</v>
      </c>
      <c r="R139" s="97">
        <f>IF(C139=2008, Q139/3,Q139)+P139</f>
        <v>1.3333333333333333</v>
      </c>
      <c r="S139" s="22"/>
      <c r="T139" s="50"/>
      <c r="U139" s="50"/>
      <c r="V139" s="50"/>
      <c r="W139" s="50"/>
      <c r="X139" s="50">
        <f>AL139</f>
        <v>4</v>
      </c>
      <c r="Y139" s="120"/>
      <c r="Z139" s="96">
        <f>SUM(T139:X139)</f>
        <v>4</v>
      </c>
      <c r="AA139" s="97">
        <f>IF(C139=2011, Z139/3,Z139)+Y139</f>
        <v>4</v>
      </c>
      <c r="AB139" s="22"/>
      <c r="AC139" s="13"/>
      <c r="AD139" s="13">
        <v>4</v>
      </c>
      <c r="AE139" s="13"/>
      <c r="AF139" s="13"/>
      <c r="AG139" s="13"/>
      <c r="AH139" s="13"/>
      <c r="AI139" s="13"/>
      <c r="AJ139" s="95"/>
      <c r="AK139" s="96">
        <f>SUM(AC139:AI139)</f>
        <v>4</v>
      </c>
      <c r="AL139" s="97">
        <f>IF(C139=2010, AK139/3,AK139)+AJ139</f>
        <v>4</v>
      </c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</row>
    <row r="140" spans="1:57" s="3" customFormat="1" x14ac:dyDescent="0.25">
      <c r="A140" s="51" t="s">
        <v>368</v>
      </c>
      <c r="B140" s="84" t="s">
        <v>7</v>
      </c>
      <c r="C140" s="52">
        <v>2007</v>
      </c>
      <c r="D140" s="1">
        <f>R140+E140+F140</f>
        <v>38.666666666666664</v>
      </c>
      <c r="E140" s="233"/>
      <c r="F140" s="219"/>
      <c r="G140" s="120"/>
      <c r="H140" s="219"/>
      <c r="I140" s="205"/>
      <c r="J140" s="196"/>
      <c r="K140" s="186"/>
      <c r="L140" s="170"/>
      <c r="M140" s="50"/>
      <c r="N140" s="50"/>
      <c r="O140" s="219">
        <f>AA140</f>
        <v>38.666666666666664</v>
      </c>
      <c r="P140" s="120"/>
      <c r="Q140" s="96">
        <f>I140+J140+K140+L140+M140+N140+O140</f>
        <v>38.666666666666664</v>
      </c>
      <c r="R140" s="97">
        <f>IF(C140=2008, Q140/3,Q140)+P140</f>
        <v>38.666666666666664</v>
      </c>
      <c r="S140" s="22"/>
      <c r="T140" s="50"/>
      <c r="U140" s="50"/>
      <c r="V140" s="50">
        <f>90</f>
        <v>90</v>
      </c>
      <c r="W140" s="50"/>
      <c r="X140" s="50">
        <f>AL140</f>
        <v>26</v>
      </c>
      <c r="Y140" s="120"/>
      <c r="Z140" s="96">
        <f>SUM(T140:X140)</f>
        <v>116</v>
      </c>
      <c r="AA140" s="97">
        <f>IF(C140=2007, Z140/3,Z140)+Y140</f>
        <v>38.666666666666664</v>
      </c>
      <c r="AB140" s="22"/>
      <c r="AC140" s="237"/>
      <c r="AD140" s="237"/>
      <c r="AE140" s="237"/>
      <c r="AF140" s="237">
        <f>0</f>
        <v>0</v>
      </c>
      <c r="AG140" s="237"/>
      <c r="AH140" s="237"/>
      <c r="AI140" s="237">
        <f>26</f>
        <v>26</v>
      </c>
      <c r="AJ140" s="95"/>
      <c r="AK140" s="96">
        <f>SUM(AC140:AI140)</f>
        <v>26</v>
      </c>
      <c r="AL140" s="97">
        <f>IF(C140=2010, AK140/3,AK140)+AJ140</f>
        <v>26</v>
      </c>
    </row>
    <row r="141" spans="1:57" s="3" customFormat="1" x14ac:dyDescent="0.25">
      <c r="A141" s="51" t="s">
        <v>369</v>
      </c>
      <c r="B141" s="84" t="s">
        <v>7</v>
      </c>
      <c r="C141" s="52">
        <v>2007</v>
      </c>
      <c r="D141" s="1">
        <f>R141+E141+F141</f>
        <v>20.666666666666668</v>
      </c>
      <c r="E141" s="233"/>
      <c r="F141" s="219"/>
      <c r="G141" s="154"/>
      <c r="H141" s="219"/>
      <c r="I141" s="205"/>
      <c r="J141" s="196"/>
      <c r="K141" s="186"/>
      <c r="L141" s="170"/>
      <c r="M141" s="50"/>
      <c r="N141" s="50"/>
      <c r="O141" s="219">
        <f>AA141</f>
        <v>20.666666666666668</v>
      </c>
      <c r="P141" s="120"/>
      <c r="Q141" s="96">
        <f>I141+J141+K141+L141+M141+N141+O141</f>
        <v>20.666666666666668</v>
      </c>
      <c r="R141" s="97">
        <f>IF(C141=2008, Q141/3,Q141)+P141</f>
        <v>20.666666666666668</v>
      </c>
      <c r="S141" s="22"/>
      <c r="T141" s="50"/>
      <c r="U141" s="50"/>
      <c r="V141" s="50">
        <f>39</f>
        <v>39</v>
      </c>
      <c r="W141" s="50"/>
      <c r="X141" s="50">
        <f>AL141</f>
        <v>23</v>
      </c>
      <c r="Y141" s="120"/>
      <c r="Z141" s="96">
        <f>SUM(T141:X141)</f>
        <v>62</v>
      </c>
      <c r="AA141" s="97">
        <f>IF(C141=2007, Z141/3,Z141)+Y141</f>
        <v>20.666666666666668</v>
      </c>
      <c r="AB141" s="22"/>
      <c r="AC141" s="237"/>
      <c r="AD141" s="237"/>
      <c r="AE141" s="237"/>
      <c r="AF141" s="237">
        <f>0</f>
        <v>0</v>
      </c>
      <c r="AG141" s="237"/>
      <c r="AH141" s="237"/>
      <c r="AI141" s="237">
        <f>23</f>
        <v>23</v>
      </c>
      <c r="AJ141" s="95"/>
      <c r="AK141" s="96">
        <f>SUM(AC141:AI141)</f>
        <v>23</v>
      </c>
      <c r="AL141" s="97">
        <f>IF(C141=2010, AK141/3,AK141)+AJ141</f>
        <v>23</v>
      </c>
    </row>
    <row r="142" spans="1:57" s="17" customFormat="1" x14ac:dyDescent="0.25">
      <c r="A142" s="60" t="s">
        <v>358</v>
      </c>
      <c r="B142" s="65" t="s">
        <v>0</v>
      </c>
      <c r="C142" s="62">
        <v>2008</v>
      </c>
      <c r="D142" s="1">
        <f>R142+E142+F142</f>
        <v>80</v>
      </c>
      <c r="E142" s="233"/>
      <c r="F142" s="219"/>
      <c r="G142" s="154"/>
      <c r="H142" s="219"/>
      <c r="I142" s="205"/>
      <c r="J142" s="196"/>
      <c r="K142" s="186"/>
      <c r="L142" s="170"/>
      <c r="M142" s="50">
        <f>6</f>
        <v>6</v>
      </c>
      <c r="N142" s="50">
        <f>3</f>
        <v>3</v>
      </c>
      <c r="O142" s="219">
        <f>AA142</f>
        <v>222</v>
      </c>
      <c r="P142" s="120">
        <f>3</f>
        <v>3</v>
      </c>
      <c r="Q142" s="96">
        <f>I142+J142+K142+L142+M142+N142+O142</f>
        <v>231</v>
      </c>
      <c r="R142" s="97">
        <f>IF(C142=2008, Q142/3,Q142)+P142</f>
        <v>80</v>
      </c>
      <c r="S142" s="22"/>
      <c r="T142" s="50"/>
      <c r="U142" s="50"/>
      <c r="V142" s="50"/>
      <c r="W142" s="50"/>
      <c r="X142" s="50">
        <f>AL142</f>
        <v>222</v>
      </c>
      <c r="Y142" s="120"/>
      <c r="Z142" s="96">
        <f>SUM(T142:X142)</f>
        <v>222</v>
      </c>
      <c r="AA142" s="97">
        <f>IF(C142=2011, Z142/3,Z142)+Y142</f>
        <v>222</v>
      </c>
      <c r="AB142" s="22"/>
      <c r="AC142" s="13"/>
      <c r="AD142" s="13"/>
      <c r="AE142" s="13"/>
      <c r="AF142" s="13">
        <f>24</f>
        <v>24</v>
      </c>
      <c r="AG142" s="13"/>
      <c r="AH142" s="13"/>
      <c r="AI142" s="13">
        <v>198</v>
      </c>
      <c r="AJ142" s="95"/>
      <c r="AK142" s="96">
        <f>SUM(AC142:AI142)</f>
        <v>222</v>
      </c>
      <c r="AL142" s="97">
        <f>IF(C142=2010, AK142/3,AK142)+AJ142</f>
        <v>222</v>
      </c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</row>
    <row r="143" spans="1:57" s="3" customFormat="1" x14ac:dyDescent="0.25">
      <c r="A143" s="60" t="s">
        <v>173</v>
      </c>
      <c r="B143" s="85" t="s">
        <v>64</v>
      </c>
      <c r="C143" s="62">
        <v>2008</v>
      </c>
      <c r="D143" s="1">
        <f>R143+E143+F143</f>
        <v>167.33333333333334</v>
      </c>
      <c r="E143" s="233"/>
      <c r="F143" s="219"/>
      <c r="G143" s="154"/>
      <c r="H143" s="219"/>
      <c r="I143" s="205"/>
      <c r="J143" s="196">
        <f>18</f>
        <v>18</v>
      </c>
      <c r="K143" s="186"/>
      <c r="L143" s="170"/>
      <c r="M143" s="50">
        <f>30+3</f>
        <v>33</v>
      </c>
      <c r="N143" s="50">
        <f>36</f>
        <v>36</v>
      </c>
      <c r="O143" s="219">
        <f>AA143</f>
        <v>325</v>
      </c>
      <c r="P143" s="120">
        <f>3+3+6+15+3</f>
        <v>30</v>
      </c>
      <c r="Q143" s="96">
        <f>I143+J143+K143+L143+M143+N143+O143</f>
        <v>412</v>
      </c>
      <c r="R143" s="97">
        <f>IF(C143=2008, Q143/3,Q143)+P143</f>
        <v>167.33333333333334</v>
      </c>
      <c r="S143" s="22"/>
      <c r="T143" s="50"/>
      <c r="U143" s="50">
        <f>6</f>
        <v>6</v>
      </c>
      <c r="V143" s="50">
        <f>231</f>
        <v>231</v>
      </c>
      <c r="W143" s="50">
        <f>9+6</f>
        <v>15</v>
      </c>
      <c r="X143" s="50">
        <f>AL143</f>
        <v>61</v>
      </c>
      <c r="Y143" s="120">
        <f>9+3</f>
        <v>12</v>
      </c>
      <c r="Z143" s="96">
        <f>SUM(T143:X143)</f>
        <v>313</v>
      </c>
      <c r="AA143" s="97">
        <f>IF(C143=2011, Z143/3,Z143)+Y143</f>
        <v>325</v>
      </c>
      <c r="AB143" s="22"/>
      <c r="AC143" s="13"/>
      <c r="AD143" s="13">
        <v>51</v>
      </c>
      <c r="AE143" s="13"/>
      <c r="AF143" s="13"/>
      <c r="AG143" s="13"/>
      <c r="AH143" s="13"/>
      <c r="AI143" s="13">
        <f>10</f>
        <v>10</v>
      </c>
      <c r="AJ143" s="95"/>
      <c r="AK143" s="96">
        <f>SUM(AC143:AI143)</f>
        <v>61</v>
      </c>
      <c r="AL143" s="97">
        <f>IF(C143=2010, AK143/3,AK143)+AJ143</f>
        <v>61</v>
      </c>
    </row>
    <row r="144" spans="1:57" s="52" customFormat="1" x14ac:dyDescent="0.25">
      <c r="A144" s="60" t="s">
        <v>811</v>
      </c>
      <c r="B144" s="65" t="s">
        <v>587</v>
      </c>
      <c r="C144" s="62">
        <v>2008</v>
      </c>
      <c r="D144" s="1">
        <f>R144+E144+F144</f>
        <v>4</v>
      </c>
      <c r="E144" s="233"/>
      <c r="F144" s="219"/>
      <c r="G144" s="120"/>
      <c r="H144" s="219"/>
      <c r="I144" s="205"/>
      <c r="J144" s="196"/>
      <c r="K144" s="186"/>
      <c r="L144" s="170"/>
      <c r="M144" s="50"/>
      <c r="N144" s="50">
        <f>12</f>
        <v>12</v>
      </c>
      <c r="O144" s="219">
        <f>AA144</f>
        <v>0</v>
      </c>
      <c r="P144" s="120"/>
      <c r="Q144" s="96">
        <f>I144+J144+K144+L144+M144+N144+O144</f>
        <v>12</v>
      </c>
      <c r="R144" s="97">
        <f>IF(C144=2008, Q144/3,Q144)+P144</f>
        <v>4</v>
      </c>
      <c r="S144" s="22"/>
      <c r="T144" s="50"/>
      <c r="U144" s="50"/>
      <c r="V144" s="50"/>
      <c r="W144" s="50"/>
      <c r="X144" s="50"/>
      <c r="Y144" s="120"/>
      <c r="Z144" s="96"/>
      <c r="AA144" s="97"/>
      <c r="AB144" s="22"/>
      <c r="AC144" s="13"/>
      <c r="AD144" s="13"/>
      <c r="AE144" s="13"/>
      <c r="AF144" s="13"/>
      <c r="AG144" s="13"/>
      <c r="AH144" s="13"/>
      <c r="AI144" s="13"/>
      <c r="AJ144" s="95"/>
      <c r="AK144" s="96"/>
      <c r="AL144" s="97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</row>
    <row r="145" spans="1:57" s="52" customFormat="1" x14ac:dyDescent="0.25">
      <c r="A145" s="60" t="s">
        <v>660</v>
      </c>
      <c r="B145" s="85" t="s">
        <v>7</v>
      </c>
      <c r="C145" s="62">
        <v>2008</v>
      </c>
      <c r="D145" s="1">
        <f>R145+E145+F145</f>
        <v>99.666666666666671</v>
      </c>
      <c r="E145" s="233"/>
      <c r="F145" s="219"/>
      <c r="G145" s="120"/>
      <c r="H145" s="219"/>
      <c r="I145" s="205"/>
      <c r="J145" s="196"/>
      <c r="K145" s="186"/>
      <c r="L145" s="170"/>
      <c r="M145" s="50"/>
      <c r="N145" s="50"/>
      <c r="O145" s="219">
        <f>AA145</f>
        <v>299</v>
      </c>
      <c r="P145" s="120"/>
      <c r="Q145" s="96">
        <f>I145+J145+K145+L145+M145+N145+O145</f>
        <v>299</v>
      </c>
      <c r="R145" s="97">
        <f>IF(C145=2008, Q145/3,Q145)+P145</f>
        <v>99.666666666666671</v>
      </c>
      <c r="S145" s="22"/>
      <c r="T145" s="50"/>
      <c r="U145" s="50"/>
      <c r="V145" s="50">
        <f>195</f>
        <v>195</v>
      </c>
      <c r="W145" s="50"/>
      <c r="X145" s="50">
        <v>104</v>
      </c>
      <c r="Y145" s="120"/>
      <c r="Z145" s="96">
        <f>SUM(T145:X145)</f>
        <v>299</v>
      </c>
      <c r="AA145" s="97">
        <f>IF(C145=2011, Z145/3,Z145)+Y145</f>
        <v>299</v>
      </c>
      <c r="AB145" s="22"/>
      <c r="AC145" s="13"/>
      <c r="AD145" s="13"/>
      <c r="AE145" s="13"/>
      <c r="AF145" s="13"/>
      <c r="AG145" s="13"/>
      <c r="AH145" s="13"/>
      <c r="AI145" s="13"/>
      <c r="AJ145" s="95"/>
      <c r="AK145" s="96"/>
      <c r="AL145" s="97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</row>
    <row r="146" spans="1:57" s="3" customFormat="1" x14ac:dyDescent="0.25">
      <c r="A146" s="51" t="s">
        <v>51</v>
      </c>
      <c r="B146" s="84" t="s">
        <v>23</v>
      </c>
      <c r="C146" s="52">
        <v>2007</v>
      </c>
      <c r="D146" s="1">
        <f>R146+E146+F146</f>
        <v>90.333333333333329</v>
      </c>
      <c r="E146" s="233"/>
      <c r="F146" s="219"/>
      <c r="G146" s="154"/>
      <c r="H146" s="219"/>
      <c r="I146" s="205"/>
      <c r="J146" s="196">
        <f>0</f>
        <v>0</v>
      </c>
      <c r="K146" s="186"/>
      <c r="L146" s="170"/>
      <c r="M146" s="50"/>
      <c r="N146" s="50"/>
      <c r="O146" s="219">
        <f>AA146</f>
        <v>90.333333333333329</v>
      </c>
      <c r="P146" s="120"/>
      <c r="Q146" s="96">
        <f>I146+J146+K146+L146+M146+N146+O146</f>
        <v>90.333333333333329</v>
      </c>
      <c r="R146" s="97">
        <f>IF(C146=2008, Q146/3,Q146)+P146</f>
        <v>90.333333333333329</v>
      </c>
      <c r="S146" s="22"/>
      <c r="T146" s="50"/>
      <c r="U146" s="50"/>
      <c r="V146" s="50">
        <f>22+93</f>
        <v>115</v>
      </c>
      <c r="W146" s="50"/>
      <c r="X146" s="50">
        <f>AL146</f>
        <v>156</v>
      </c>
      <c r="Y146" s="120"/>
      <c r="Z146" s="96">
        <f>SUM(T146:X146)</f>
        <v>271</v>
      </c>
      <c r="AA146" s="97">
        <f>IF(C146=2007, Z146/3,Z146)+Y146</f>
        <v>90.333333333333329</v>
      </c>
      <c r="AB146" s="22"/>
      <c r="AC146" s="237">
        <f>0</f>
        <v>0</v>
      </c>
      <c r="AD146" s="237"/>
      <c r="AE146" s="237"/>
      <c r="AF146" s="237"/>
      <c r="AG146" s="237"/>
      <c r="AH146" s="237"/>
      <c r="AI146" s="237">
        <v>156</v>
      </c>
      <c r="AJ146" s="95"/>
      <c r="AK146" s="96">
        <f>SUM(AC146:AI146)</f>
        <v>156</v>
      </c>
      <c r="AL146" s="97">
        <f>IF(C146=2010, AK146/3,AK146)+AJ146</f>
        <v>156</v>
      </c>
    </row>
    <row r="147" spans="1:57" s="3" customFormat="1" x14ac:dyDescent="0.25">
      <c r="A147" s="11" t="s">
        <v>798</v>
      </c>
      <c r="B147" s="60" t="s">
        <v>64</v>
      </c>
      <c r="C147" s="62">
        <v>2007</v>
      </c>
      <c r="D147" s="1">
        <f>R147+E147+F147</f>
        <v>21</v>
      </c>
      <c r="E147" s="233"/>
      <c r="F147" s="219"/>
      <c r="G147" s="120"/>
      <c r="H147" s="219"/>
      <c r="I147" s="205"/>
      <c r="J147" s="196"/>
      <c r="K147" s="186"/>
      <c r="L147" s="170"/>
      <c r="M147" s="50">
        <f>3</f>
        <v>3</v>
      </c>
      <c r="N147" s="50">
        <f>12+6</f>
        <v>18</v>
      </c>
      <c r="O147" s="219">
        <f>AA147</f>
        <v>0</v>
      </c>
      <c r="P147" s="120"/>
      <c r="Q147" s="96">
        <f>I147+J147+K147+L147+M147+N147+O147</f>
        <v>21</v>
      </c>
      <c r="R147" s="97">
        <f>IF(C147=2008, Q147/3,Q147)+P147</f>
        <v>21</v>
      </c>
      <c r="S147" s="22"/>
      <c r="T147" s="50"/>
      <c r="U147" s="50"/>
      <c r="V147" s="50"/>
      <c r="W147" s="50"/>
      <c r="X147" s="50"/>
      <c r="Y147" s="120"/>
      <c r="Z147" s="96"/>
      <c r="AA147" s="97"/>
      <c r="AB147" s="22"/>
      <c r="AC147" s="41"/>
      <c r="AD147" s="41"/>
      <c r="AE147" s="41"/>
      <c r="AF147" s="41"/>
      <c r="AG147" s="41"/>
      <c r="AH147" s="41"/>
      <c r="AI147" s="13"/>
      <c r="AJ147" s="95"/>
      <c r="AK147" s="96"/>
      <c r="AL147" s="97"/>
    </row>
    <row r="148" spans="1:57" s="52" customFormat="1" x14ac:dyDescent="0.25">
      <c r="A148" s="60" t="s">
        <v>584</v>
      </c>
      <c r="B148" s="65" t="s">
        <v>551</v>
      </c>
      <c r="C148" s="62">
        <v>2007</v>
      </c>
      <c r="D148" s="1">
        <f>R148+E148+F148</f>
        <v>6</v>
      </c>
      <c r="E148" s="237"/>
      <c r="F148" s="237"/>
      <c r="G148" s="154"/>
      <c r="H148" s="237"/>
      <c r="I148" s="205"/>
      <c r="J148" s="196"/>
      <c r="K148" s="186"/>
      <c r="L148" s="170"/>
      <c r="M148" s="50"/>
      <c r="N148" s="50"/>
      <c r="O148" s="219">
        <f>AA148</f>
        <v>6</v>
      </c>
      <c r="P148" s="120"/>
      <c r="Q148" s="96">
        <f>I148+J148+K148+L148+M148+N148+O148</f>
        <v>6</v>
      </c>
      <c r="R148" s="97">
        <f>IF(C148=2008, Q148/3,Q148)+P148</f>
        <v>6</v>
      </c>
      <c r="S148" s="22"/>
      <c r="T148" s="50"/>
      <c r="U148" s="50">
        <f>0+12</f>
        <v>12</v>
      </c>
      <c r="V148" s="50"/>
      <c r="W148" s="50">
        <f>3+3</f>
        <v>6</v>
      </c>
      <c r="X148" s="50"/>
      <c r="Y148" s="120"/>
      <c r="Z148" s="96">
        <f>SUM(T148:X148)</f>
        <v>18</v>
      </c>
      <c r="AA148" s="97">
        <f>IF(C148=2007, Z148/3,Z148)+Y148</f>
        <v>6</v>
      </c>
      <c r="AB148" s="22"/>
      <c r="AC148" s="13"/>
      <c r="AD148" s="13"/>
      <c r="AE148" s="13"/>
      <c r="AF148" s="13"/>
      <c r="AG148" s="13"/>
      <c r="AH148" s="13"/>
      <c r="AI148" s="13"/>
      <c r="AJ148" s="95"/>
      <c r="AK148" s="96"/>
      <c r="AL148" s="97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</row>
    <row r="149" spans="1:57" s="52" customFormat="1" x14ac:dyDescent="0.25">
      <c r="A149" s="60" t="s">
        <v>209</v>
      </c>
      <c r="B149" s="65" t="s">
        <v>111</v>
      </c>
      <c r="C149" s="62">
        <v>2003</v>
      </c>
      <c r="D149" s="1">
        <f>R149+E149+F149</f>
        <v>53</v>
      </c>
      <c r="E149" s="233"/>
      <c r="F149" s="219"/>
      <c r="G149" s="120"/>
      <c r="H149" s="219"/>
      <c r="I149" s="205"/>
      <c r="J149" s="196"/>
      <c r="K149" s="186"/>
      <c r="L149" s="170"/>
      <c r="M149" s="50"/>
      <c r="N149" s="50"/>
      <c r="O149" s="219">
        <f>AA149</f>
        <v>53</v>
      </c>
      <c r="P149" s="120"/>
      <c r="Q149" s="96">
        <f>I149+J149+K149+L149+M149+N149+O149</f>
        <v>53</v>
      </c>
      <c r="R149" s="97">
        <f>IF(C149=2008, Q149/3,Q149)+P149</f>
        <v>53</v>
      </c>
      <c r="S149" s="22"/>
      <c r="T149" s="50"/>
      <c r="U149" s="50"/>
      <c r="V149" s="50"/>
      <c r="W149" s="50"/>
      <c r="X149" s="50">
        <f>AL149</f>
        <v>53</v>
      </c>
      <c r="Y149" s="120"/>
      <c r="Z149" s="96">
        <f>SUM(T149:X149)</f>
        <v>53</v>
      </c>
      <c r="AA149" s="97">
        <f>IF(C149=2007, Z149/3,Z149)+Y149</f>
        <v>53</v>
      </c>
      <c r="AB149" s="22"/>
      <c r="AC149" s="26"/>
      <c r="AD149" s="26">
        <v>5</v>
      </c>
      <c r="AE149" s="26"/>
      <c r="AF149" s="26">
        <f>6</f>
        <v>6</v>
      </c>
      <c r="AG149" s="26"/>
      <c r="AH149" s="26"/>
      <c r="AI149" s="26">
        <f>42</f>
        <v>42</v>
      </c>
      <c r="AJ149" s="95"/>
      <c r="AK149" s="96">
        <f>SUM(AC149:AI149)</f>
        <v>53</v>
      </c>
      <c r="AL149" s="97">
        <f>IF(C149=2006, AK149/3,AK149)+AJ149</f>
        <v>53</v>
      </c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</row>
    <row r="150" spans="1:57" s="3" customFormat="1" x14ac:dyDescent="0.25">
      <c r="A150" s="60" t="s">
        <v>807</v>
      </c>
      <c r="B150" s="65" t="s">
        <v>587</v>
      </c>
      <c r="C150" s="62">
        <v>2008</v>
      </c>
      <c r="D150" s="1">
        <f>R150+E150+F150</f>
        <v>4</v>
      </c>
      <c r="E150" s="156"/>
      <c r="F150" s="156"/>
      <c r="G150" s="122"/>
      <c r="H150" s="156"/>
      <c r="I150" s="205"/>
      <c r="J150" s="196"/>
      <c r="K150" s="191"/>
      <c r="L150" s="191"/>
      <c r="M150" s="191"/>
      <c r="N150" s="191">
        <f>12</f>
        <v>12</v>
      </c>
      <c r="O150" s="219">
        <f>AA150</f>
        <v>0</v>
      </c>
      <c r="P150" s="120"/>
      <c r="Q150" s="96">
        <f>I150+J150+K150+L150+M150+N150+O150</f>
        <v>12</v>
      </c>
      <c r="R150" s="97">
        <f>IF(C150=2008, Q150/3,Q150)+P150</f>
        <v>4</v>
      </c>
      <c r="S150" s="22"/>
      <c r="T150" s="50"/>
      <c r="U150" s="50"/>
      <c r="V150" s="50"/>
      <c r="W150" s="50"/>
      <c r="X150" s="50"/>
      <c r="Y150" s="120"/>
      <c r="Z150" s="96"/>
      <c r="AA150" s="97"/>
      <c r="AB150" s="22"/>
      <c r="AC150" s="13"/>
      <c r="AD150" s="13"/>
      <c r="AE150" s="13"/>
      <c r="AF150" s="13"/>
      <c r="AG150" s="13"/>
      <c r="AH150" s="13"/>
      <c r="AI150" s="13"/>
      <c r="AJ150" s="95"/>
      <c r="AK150" s="96"/>
      <c r="AL150" s="97"/>
    </row>
    <row r="151" spans="1:57" s="3" customFormat="1" x14ac:dyDescent="0.25">
      <c r="A151" s="60" t="s">
        <v>350</v>
      </c>
      <c r="B151" s="65" t="s">
        <v>86</v>
      </c>
      <c r="C151" s="62">
        <v>2008</v>
      </c>
      <c r="D151" s="1">
        <f>R151+E151+F151</f>
        <v>3.3333333333333335</v>
      </c>
      <c r="E151" s="233"/>
      <c r="F151" s="219"/>
      <c r="G151" s="120"/>
      <c r="H151" s="219"/>
      <c r="I151" s="205"/>
      <c r="J151" s="196"/>
      <c r="K151" s="186"/>
      <c r="L151" s="170"/>
      <c r="M151" s="50"/>
      <c r="N151" s="50"/>
      <c r="O151" s="219">
        <f>AA151</f>
        <v>10</v>
      </c>
      <c r="P151" s="120"/>
      <c r="Q151" s="96">
        <f>I151+J151+K151+L151+M151+N151+O151</f>
        <v>10</v>
      </c>
      <c r="R151" s="97">
        <f>IF(C151=2008, Q151/3,Q151)+P151</f>
        <v>3.3333333333333335</v>
      </c>
      <c r="S151" s="22"/>
      <c r="T151" s="50"/>
      <c r="U151" s="50"/>
      <c r="V151" s="50"/>
      <c r="W151" s="50"/>
      <c r="X151" s="50">
        <f>AL151</f>
        <v>10</v>
      </c>
      <c r="Y151" s="120"/>
      <c r="Z151" s="96">
        <f>SUM(T151:X151)</f>
        <v>10</v>
      </c>
      <c r="AA151" s="97">
        <f>IF(C151=2011, Z151/3,Z151)+Y151</f>
        <v>10</v>
      </c>
      <c r="AB151" s="22"/>
      <c r="AC151" s="13"/>
      <c r="AD151" s="13"/>
      <c r="AE151" s="13"/>
      <c r="AF151" s="13">
        <f>6+4</f>
        <v>10</v>
      </c>
      <c r="AG151" s="13"/>
      <c r="AH151" s="13"/>
      <c r="AI151" s="13"/>
      <c r="AJ151" s="95"/>
      <c r="AK151" s="96">
        <f>SUM(AC151:AI151)</f>
        <v>10</v>
      </c>
      <c r="AL151" s="97">
        <f>IF(C151=2010, AK151/3,AK151)+AJ151</f>
        <v>10</v>
      </c>
    </row>
    <row r="152" spans="1:57" s="3" customFormat="1" x14ac:dyDescent="0.25">
      <c r="A152" s="60" t="s">
        <v>520</v>
      </c>
      <c r="B152" s="65" t="s">
        <v>86</v>
      </c>
      <c r="C152" s="62">
        <v>2007</v>
      </c>
      <c r="D152" s="1">
        <f>R152+E152+F152</f>
        <v>4</v>
      </c>
      <c r="E152" s="237"/>
      <c r="F152" s="237"/>
      <c r="G152" s="120"/>
      <c r="H152" s="237"/>
      <c r="I152" s="205"/>
      <c r="J152" s="196"/>
      <c r="K152" s="186"/>
      <c r="L152" s="170"/>
      <c r="M152" s="50"/>
      <c r="N152" s="50"/>
      <c r="O152" s="219">
        <f>AA152</f>
        <v>4</v>
      </c>
      <c r="P152" s="120"/>
      <c r="Q152" s="96">
        <f>I152+J152+K152+L152+M152+N152+O152</f>
        <v>4</v>
      </c>
      <c r="R152" s="97">
        <f>IF(C152=2008, Q152/3,Q152)+P152</f>
        <v>4</v>
      </c>
      <c r="S152" s="22"/>
      <c r="T152" s="50"/>
      <c r="U152" s="50"/>
      <c r="V152" s="50"/>
      <c r="W152" s="50"/>
      <c r="X152" s="50">
        <f>AL152</f>
        <v>12</v>
      </c>
      <c r="Y152" s="120"/>
      <c r="Z152" s="96">
        <f>SUM(T152:X152)</f>
        <v>12</v>
      </c>
      <c r="AA152" s="97">
        <f>IF(C152=2007, Z152/3,Z152)+Y152</f>
        <v>4</v>
      </c>
      <c r="AB152" s="22"/>
      <c r="AC152" s="13"/>
      <c r="AD152" s="13"/>
      <c r="AE152" s="13"/>
      <c r="AF152" s="13"/>
      <c r="AG152" s="13"/>
      <c r="AH152" s="13">
        <f>0</f>
        <v>0</v>
      </c>
      <c r="AI152" s="13">
        <f>9</f>
        <v>9</v>
      </c>
      <c r="AJ152" s="95">
        <f>3</f>
        <v>3</v>
      </c>
      <c r="AK152" s="96">
        <f>SUM(AC152:AI152)</f>
        <v>9</v>
      </c>
      <c r="AL152" s="97">
        <f>IF(C152=2010, AK152/3,AK152)+AJ152</f>
        <v>12</v>
      </c>
    </row>
    <row r="153" spans="1:57" s="3" customFormat="1" x14ac:dyDescent="0.25">
      <c r="A153" s="60" t="s">
        <v>540</v>
      </c>
      <c r="B153" s="65" t="s">
        <v>532</v>
      </c>
      <c r="C153" s="62">
        <v>2005</v>
      </c>
      <c r="D153" s="1">
        <f>R153+E153+F153</f>
        <v>0</v>
      </c>
      <c r="E153" s="233"/>
      <c r="F153" s="219"/>
      <c r="G153" s="154"/>
      <c r="H153" s="219"/>
      <c r="I153" s="205"/>
      <c r="J153" s="196"/>
      <c r="K153" s="186"/>
      <c r="L153" s="170"/>
      <c r="M153" s="50"/>
      <c r="N153" s="50"/>
      <c r="O153" s="219">
        <f>AA153</f>
        <v>0</v>
      </c>
      <c r="P153" s="120"/>
      <c r="Q153" s="96">
        <f>I153+J153+K153+L153+M153+N153+O153</f>
        <v>0</v>
      </c>
      <c r="R153" s="97">
        <f>IF(C153=2008, Q153/3,Q153)+P153</f>
        <v>0</v>
      </c>
      <c r="S153" s="22"/>
      <c r="T153" s="50"/>
      <c r="U153" s="50"/>
      <c r="V153" s="50"/>
      <c r="W153" s="50"/>
      <c r="X153" s="50">
        <f>AL153</f>
        <v>0</v>
      </c>
      <c r="Y153" s="120"/>
      <c r="Z153" s="96">
        <f>SUM(T153:X153)</f>
        <v>0</v>
      </c>
      <c r="AA153" s="97">
        <f>IF(C153=2007, Z153/3,Z153)+Y153</f>
        <v>0</v>
      </c>
      <c r="AB153" s="22"/>
      <c r="AC153" s="26"/>
      <c r="AD153" s="26"/>
      <c r="AE153" s="26"/>
      <c r="AF153" s="26"/>
      <c r="AG153" s="26"/>
      <c r="AH153" s="26">
        <f>0</f>
        <v>0</v>
      </c>
      <c r="AI153" s="26"/>
      <c r="AJ153" s="95"/>
      <c r="AK153" s="96">
        <f>SUM(AC153:AI153)</f>
        <v>0</v>
      </c>
      <c r="AL153" s="97">
        <f>IF(C153=2006, AK153/3,AK153)+AJ153</f>
        <v>0</v>
      </c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</row>
    <row r="154" spans="1:57" s="52" customFormat="1" x14ac:dyDescent="0.25">
      <c r="A154" s="51" t="s">
        <v>55</v>
      </c>
      <c r="B154" s="65" t="s">
        <v>63</v>
      </c>
      <c r="C154" s="52">
        <v>2007</v>
      </c>
      <c r="D154" s="1">
        <f>R154+E154+F154</f>
        <v>128.55555555555554</v>
      </c>
      <c r="E154" s="156"/>
      <c r="F154" s="156"/>
      <c r="G154" s="122"/>
      <c r="H154" s="156"/>
      <c r="I154" s="205"/>
      <c r="J154" s="196"/>
      <c r="K154" s="186"/>
      <c r="L154" s="170">
        <f>9</f>
        <v>9</v>
      </c>
      <c r="M154" s="50">
        <f>9</f>
        <v>9</v>
      </c>
      <c r="N154" s="50"/>
      <c r="O154" s="219">
        <f>AA154</f>
        <v>110.55555555555556</v>
      </c>
      <c r="P154" s="120"/>
      <c r="Q154" s="96">
        <f>I154+J154+K154+L154+M154+N154+O154</f>
        <v>128.55555555555554</v>
      </c>
      <c r="R154" s="97">
        <f>IF(C154=2008, Q154/3,Q154)+P154</f>
        <v>128.55555555555554</v>
      </c>
      <c r="S154" s="22"/>
      <c r="T154" s="50"/>
      <c r="U154" s="50"/>
      <c r="V154" s="50"/>
      <c r="W154" s="50"/>
      <c r="X154" s="50">
        <f>AL154</f>
        <v>331.66666666666669</v>
      </c>
      <c r="Y154" s="120"/>
      <c r="Z154" s="96">
        <f>SUM(T154:X154)</f>
        <v>331.66666666666669</v>
      </c>
      <c r="AA154" s="97">
        <f>IF(C154=2007, Z154/3,Z154)+Y154</f>
        <v>110.55555555555556</v>
      </c>
      <c r="AB154" s="22"/>
      <c r="AC154" s="237">
        <f>6</f>
        <v>6</v>
      </c>
      <c r="AD154" s="237">
        <f>42</f>
        <v>42</v>
      </c>
      <c r="AE154" s="237"/>
      <c r="AF154" s="237">
        <f>42</f>
        <v>42</v>
      </c>
      <c r="AG154" s="237"/>
      <c r="AH154" s="237"/>
      <c r="AI154" s="237">
        <v>241.66666666666669</v>
      </c>
      <c r="AJ154" s="95"/>
      <c r="AK154" s="96">
        <f>SUM(AC154:AI154)</f>
        <v>331.66666666666669</v>
      </c>
      <c r="AL154" s="97">
        <f>IF(C154=2010, AK154/3,AK154)+AJ154</f>
        <v>331.66666666666669</v>
      </c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</row>
    <row r="155" spans="1:57" s="3" customFormat="1" x14ac:dyDescent="0.25">
      <c r="A155" s="11" t="s">
        <v>803</v>
      </c>
      <c r="B155" s="60" t="s">
        <v>64</v>
      </c>
      <c r="C155" s="62">
        <v>2007</v>
      </c>
      <c r="D155" s="1">
        <f>R155+E155+F155</f>
        <v>9</v>
      </c>
      <c r="E155" s="233"/>
      <c r="F155" s="219"/>
      <c r="G155" s="120"/>
      <c r="H155" s="219"/>
      <c r="I155" s="205"/>
      <c r="J155" s="196"/>
      <c r="K155" s="186"/>
      <c r="L155" s="170"/>
      <c r="M155" s="50">
        <f>0+3</f>
        <v>3</v>
      </c>
      <c r="N155" s="50">
        <f>0+6</f>
        <v>6</v>
      </c>
      <c r="O155" s="219">
        <f>AA155</f>
        <v>0</v>
      </c>
      <c r="P155" s="120"/>
      <c r="Q155" s="96">
        <f>I155+J155+K155+L155+M155+N155+O155</f>
        <v>9</v>
      </c>
      <c r="R155" s="97">
        <f>IF(C155=2008, Q155/3,Q155)+P155</f>
        <v>9</v>
      </c>
      <c r="S155" s="22"/>
      <c r="T155" s="50"/>
      <c r="U155" s="50"/>
      <c r="V155" s="50"/>
      <c r="W155" s="50"/>
      <c r="X155" s="50"/>
      <c r="Y155" s="120"/>
      <c r="Z155" s="96"/>
      <c r="AA155" s="97"/>
      <c r="AB155" s="22"/>
      <c r="AC155" s="41"/>
      <c r="AD155" s="41"/>
      <c r="AE155" s="41"/>
      <c r="AF155" s="41"/>
      <c r="AG155" s="41"/>
      <c r="AH155" s="41"/>
      <c r="AI155" s="13"/>
      <c r="AJ155" s="95"/>
      <c r="AK155" s="96"/>
      <c r="AL155" s="97"/>
    </row>
    <row r="156" spans="1:57" s="3" customFormat="1" x14ac:dyDescent="0.25">
      <c r="A156" s="60" t="s">
        <v>389</v>
      </c>
      <c r="B156" s="65" t="s">
        <v>111</v>
      </c>
      <c r="C156" s="62">
        <v>2005</v>
      </c>
      <c r="D156" s="1">
        <f>R156+E156+F156</f>
        <v>1</v>
      </c>
      <c r="E156" s="233"/>
      <c r="F156" s="219"/>
      <c r="G156" s="154"/>
      <c r="H156" s="219"/>
      <c r="I156" s="205"/>
      <c r="J156" s="196"/>
      <c r="K156" s="186"/>
      <c r="L156" s="170"/>
      <c r="M156" s="50"/>
      <c r="N156" s="50"/>
      <c r="O156" s="219">
        <f>AA156</f>
        <v>1</v>
      </c>
      <c r="P156" s="120"/>
      <c r="Q156" s="96">
        <f>I156+J156+K156+L156+M156+N156+O156</f>
        <v>1</v>
      </c>
      <c r="R156" s="97">
        <f>IF(C156=2008, Q156/3,Q156)+P156</f>
        <v>1</v>
      </c>
      <c r="S156" s="22"/>
      <c r="T156" s="50"/>
      <c r="U156" s="50"/>
      <c r="V156" s="50"/>
      <c r="W156" s="50"/>
      <c r="X156" s="50">
        <f>AL156</f>
        <v>1</v>
      </c>
      <c r="Y156" s="120"/>
      <c r="Z156" s="96">
        <f>SUM(T156:X156)</f>
        <v>1</v>
      </c>
      <c r="AA156" s="97">
        <f>IF(C156=2007, Z156/3,Z156)+Y156</f>
        <v>1</v>
      </c>
      <c r="AB156" s="22"/>
      <c r="AC156" s="26"/>
      <c r="AD156" s="26"/>
      <c r="AE156" s="26"/>
      <c r="AF156" s="26">
        <f>1</f>
        <v>1</v>
      </c>
      <c r="AG156" s="26"/>
      <c r="AH156" s="26"/>
      <c r="AI156" s="26"/>
      <c r="AJ156" s="95"/>
      <c r="AK156" s="96">
        <f>SUM(AC156:AI156)</f>
        <v>1</v>
      </c>
      <c r="AL156" s="97">
        <f>IF(C156=2006, AK156/3,AK156)+AJ156</f>
        <v>1</v>
      </c>
    </row>
    <row r="157" spans="1:57" s="3" customFormat="1" x14ac:dyDescent="0.25">
      <c r="A157" s="51" t="s">
        <v>50</v>
      </c>
      <c r="B157" s="84" t="s">
        <v>23</v>
      </c>
      <c r="C157" s="52">
        <v>2008</v>
      </c>
      <c r="D157" s="1">
        <f>R157+E157+F157</f>
        <v>96</v>
      </c>
      <c r="E157" s="233"/>
      <c r="F157" s="219"/>
      <c r="G157" s="120"/>
      <c r="H157" s="219"/>
      <c r="I157" s="205"/>
      <c r="J157" s="196"/>
      <c r="K157" s="186"/>
      <c r="L157" s="170"/>
      <c r="M157" s="50"/>
      <c r="N157" s="50"/>
      <c r="O157" s="219">
        <f>AA157</f>
        <v>288</v>
      </c>
      <c r="P157" s="120"/>
      <c r="Q157" s="96">
        <f>I157+J157+K157+L157+M157+N157+O157</f>
        <v>288</v>
      </c>
      <c r="R157" s="97">
        <f>IF(C157=2008, Q157/3,Q157)+P157</f>
        <v>96</v>
      </c>
      <c r="S157" s="22"/>
      <c r="T157" s="50"/>
      <c r="U157" s="50"/>
      <c r="V157" s="50">
        <f>141</f>
        <v>141</v>
      </c>
      <c r="W157" s="50"/>
      <c r="X157" s="50">
        <f>AL157</f>
        <v>147</v>
      </c>
      <c r="Y157" s="120"/>
      <c r="Z157" s="96">
        <f>SUM(T157:X157)</f>
        <v>288</v>
      </c>
      <c r="AA157" s="97">
        <f>IF(C157=2011, Z157/3,Z157)+Y157</f>
        <v>288</v>
      </c>
      <c r="AB157" s="22"/>
      <c r="AC157" s="237">
        <f>9+3</f>
        <v>12</v>
      </c>
      <c r="AD157" s="237"/>
      <c r="AE157" s="237"/>
      <c r="AF157" s="237"/>
      <c r="AG157" s="237"/>
      <c r="AH157" s="237"/>
      <c r="AI157" s="237">
        <v>135</v>
      </c>
      <c r="AJ157" s="95"/>
      <c r="AK157" s="96">
        <f>SUM(AC157:AI157)</f>
        <v>147</v>
      </c>
      <c r="AL157" s="97">
        <f>IF(C157=2010, AK157/3,AK157)+AJ157</f>
        <v>147</v>
      </c>
    </row>
    <row r="158" spans="1:57" s="3" customFormat="1" x14ac:dyDescent="0.25">
      <c r="A158" s="60" t="s">
        <v>498</v>
      </c>
      <c r="B158" s="65" t="s">
        <v>232</v>
      </c>
      <c r="C158" s="62">
        <v>2007</v>
      </c>
      <c r="D158" s="1">
        <f>R158+E158+F158</f>
        <v>4</v>
      </c>
      <c r="E158" s="233"/>
      <c r="F158" s="219"/>
      <c r="G158" s="120"/>
      <c r="H158" s="219"/>
      <c r="I158" s="205"/>
      <c r="J158" s="196"/>
      <c r="K158" s="186"/>
      <c r="L158" s="170"/>
      <c r="M158" s="50"/>
      <c r="N158" s="50"/>
      <c r="O158" s="219">
        <f>AA158</f>
        <v>4</v>
      </c>
      <c r="P158" s="120"/>
      <c r="Q158" s="96">
        <f>I158+J158+K158+L158+M158+N158+O158</f>
        <v>4</v>
      </c>
      <c r="R158" s="97">
        <f>IF(C158=2008, Q158/3,Q158)+P158</f>
        <v>4</v>
      </c>
      <c r="S158" s="22"/>
      <c r="T158" s="50"/>
      <c r="U158" s="50"/>
      <c r="V158" s="50"/>
      <c r="W158" s="50"/>
      <c r="X158" s="50">
        <f>AL158</f>
        <v>12</v>
      </c>
      <c r="Y158" s="120"/>
      <c r="Z158" s="96">
        <f>SUM(T158:X158)</f>
        <v>12</v>
      </c>
      <c r="AA158" s="97">
        <f>IF(C158=2007, Z158/3,Z158)+Y158</f>
        <v>4</v>
      </c>
      <c r="AB158" s="22"/>
      <c r="AC158" s="13"/>
      <c r="AD158" s="13"/>
      <c r="AE158" s="13"/>
      <c r="AF158" s="13"/>
      <c r="AG158" s="13"/>
      <c r="AH158" s="13">
        <f>12</f>
        <v>12</v>
      </c>
      <c r="AI158" s="13"/>
      <c r="AJ158" s="95"/>
      <c r="AK158" s="96">
        <f>SUM(AC158:AI158)</f>
        <v>12</v>
      </c>
      <c r="AL158" s="97">
        <f>IF(C158=2010, AK158/3,AK158)+AJ158</f>
        <v>12</v>
      </c>
    </row>
    <row r="159" spans="1:57" s="3" customFormat="1" x14ac:dyDescent="0.25">
      <c r="A159" s="60" t="s">
        <v>220</v>
      </c>
      <c r="B159" s="65" t="s">
        <v>86</v>
      </c>
      <c r="C159" s="62">
        <v>2005</v>
      </c>
      <c r="D159" s="1">
        <f>R159+E159+F159</f>
        <v>0</v>
      </c>
      <c r="E159" s="233"/>
      <c r="F159" s="219"/>
      <c r="G159" s="120"/>
      <c r="H159" s="219"/>
      <c r="I159" s="205"/>
      <c r="J159" s="196"/>
      <c r="K159" s="186"/>
      <c r="L159" s="170"/>
      <c r="M159" s="50"/>
      <c r="N159" s="50"/>
      <c r="O159" s="219">
        <f>AA159</f>
        <v>0</v>
      </c>
      <c r="P159" s="120"/>
      <c r="Q159" s="96">
        <f>I159+J159+K159+L159+M159+N159+O159</f>
        <v>0</v>
      </c>
      <c r="R159" s="97">
        <f>IF(C159=2008, Q159/3,Q159)+P159</f>
        <v>0</v>
      </c>
      <c r="S159" s="22"/>
      <c r="T159" s="50"/>
      <c r="U159" s="50"/>
      <c r="V159" s="50"/>
      <c r="W159" s="50"/>
      <c r="X159" s="50">
        <f>AL159</f>
        <v>0</v>
      </c>
      <c r="Y159" s="120"/>
      <c r="Z159" s="96">
        <f>SUM(T159:X159)</f>
        <v>0</v>
      </c>
      <c r="AA159" s="97">
        <f>IF(C159=2007, Z159/3,Z159)+Y159</f>
        <v>0</v>
      </c>
      <c r="AB159" s="22"/>
      <c r="AC159" s="26"/>
      <c r="AD159" s="26">
        <v>0</v>
      </c>
      <c r="AE159" s="26"/>
      <c r="AF159" s="26"/>
      <c r="AG159" s="26"/>
      <c r="AH159" s="26"/>
      <c r="AI159" s="26"/>
      <c r="AJ159" s="95"/>
      <c r="AK159" s="96">
        <f>SUM(AC159:AI159)</f>
        <v>0</v>
      </c>
      <c r="AL159" s="97">
        <f>IF(C159=2006, AK159/3,AK159)+AJ159</f>
        <v>0</v>
      </c>
    </row>
    <row r="160" spans="1:57" s="3" customFormat="1" x14ac:dyDescent="0.25">
      <c r="A160" s="60" t="s">
        <v>526</v>
      </c>
      <c r="B160" s="65" t="s">
        <v>63</v>
      </c>
      <c r="C160" s="62">
        <v>2001</v>
      </c>
      <c r="D160" s="1">
        <f>R160+E160+F160</f>
        <v>71</v>
      </c>
      <c r="E160" s="237"/>
      <c r="F160" s="237"/>
      <c r="G160" s="120"/>
      <c r="H160" s="237"/>
      <c r="I160" s="205"/>
      <c r="J160" s="196"/>
      <c r="K160" s="186"/>
      <c r="L160" s="170">
        <f>9</f>
        <v>9</v>
      </c>
      <c r="M160" s="50">
        <f>9</f>
        <v>9</v>
      </c>
      <c r="N160" s="50"/>
      <c r="O160" s="219">
        <f>AA160</f>
        <v>53</v>
      </c>
      <c r="P160" s="120"/>
      <c r="Q160" s="96">
        <f>I160+J160+K160+L160+M160+N160+O160</f>
        <v>71</v>
      </c>
      <c r="R160" s="97">
        <f>IF(C160=2008, Q160/3,Q160)+P160</f>
        <v>71</v>
      </c>
      <c r="S160" s="22"/>
      <c r="T160" s="50"/>
      <c r="U160" s="50"/>
      <c r="V160" s="50">
        <f>6</f>
        <v>6</v>
      </c>
      <c r="W160" s="50">
        <f>6+3+3</f>
        <v>12</v>
      </c>
      <c r="X160" s="50">
        <f>AL160</f>
        <v>35</v>
      </c>
      <c r="Y160" s="120"/>
      <c r="Z160" s="96">
        <f>SUM(T160:X160)</f>
        <v>53</v>
      </c>
      <c r="AA160" s="97">
        <f>IF(C160=2007, Z160/3,Z160)+Y160</f>
        <v>53</v>
      </c>
      <c r="AB160" s="22"/>
      <c r="AC160" s="26"/>
      <c r="AD160" s="26"/>
      <c r="AE160" s="26"/>
      <c r="AF160" s="26"/>
      <c r="AG160" s="26"/>
      <c r="AH160" s="26">
        <f>3+3+6</f>
        <v>12</v>
      </c>
      <c r="AI160" s="26">
        <f>23</f>
        <v>23</v>
      </c>
      <c r="AJ160" s="95"/>
      <c r="AK160" s="96">
        <f>SUM(AC160:AI160)</f>
        <v>35</v>
      </c>
      <c r="AL160" s="97">
        <f>IF(C160=2006, AK160/3,AK160)+AJ160</f>
        <v>35</v>
      </c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</row>
    <row r="161" spans="1:57" s="3" customFormat="1" x14ac:dyDescent="0.25">
      <c r="A161" s="53" t="s">
        <v>787</v>
      </c>
      <c r="B161" s="84" t="s">
        <v>633</v>
      </c>
      <c r="C161" s="54">
        <v>2008</v>
      </c>
      <c r="D161" s="1">
        <f>R161+E161+F161</f>
        <v>5.333333333333333</v>
      </c>
      <c r="E161" s="233"/>
      <c r="F161" s="219"/>
      <c r="G161" s="120"/>
      <c r="H161" s="219"/>
      <c r="I161" s="205"/>
      <c r="J161" s="196"/>
      <c r="K161" s="186"/>
      <c r="L161" s="170"/>
      <c r="M161" s="50"/>
      <c r="N161" s="50">
        <f>16</f>
        <v>16</v>
      </c>
      <c r="O161" s="219">
        <f>AA161</f>
        <v>0</v>
      </c>
      <c r="P161" s="120"/>
      <c r="Q161" s="96">
        <f>I161+J161+K161+L161+M161+N161+O161</f>
        <v>16</v>
      </c>
      <c r="R161" s="97">
        <f>IF(C161=2008, Q161/3,Q161)+P161</f>
        <v>5.333333333333333</v>
      </c>
      <c r="S161" s="22"/>
      <c r="T161" s="50"/>
      <c r="U161" s="50"/>
      <c r="V161" s="50"/>
      <c r="W161" s="50"/>
      <c r="X161" s="50"/>
      <c r="Y161" s="120"/>
      <c r="Z161" s="96"/>
      <c r="AA161" s="97"/>
      <c r="AB161" s="22"/>
      <c r="AC161" s="41"/>
      <c r="AD161" s="41"/>
      <c r="AE161" s="41"/>
      <c r="AF161" s="41"/>
      <c r="AG161" s="41"/>
      <c r="AH161" s="41"/>
      <c r="AI161" s="41"/>
      <c r="AJ161" s="95"/>
      <c r="AK161" s="96"/>
      <c r="AL161" s="97"/>
    </row>
    <row r="162" spans="1:57" s="3" customFormat="1" x14ac:dyDescent="0.25">
      <c r="A162" s="53" t="s">
        <v>56</v>
      </c>
      <c r="B162" s="86" t="s">
        <v>36</v>
      </c>
      <c r="C162" s="52">
        <v>2008</v>
      </c>
      <c r="D162" s="1">
        <f>R162+E162+F162</f>
        <v>99</v>
      </c>
      <c r="E162" s="156"/>
      <c r="F162" s="156"/>
      <c r="G162" s="122"/>
      <c r="H162" s="156"/>
      <c r="I162" s="205"/>
      <c r="J162" s="196"/>
      <c r="K162" s="186"/>
      <c r="L162" s="170">
        <f>3</f>
        <v>3</v>
      </c>
      <c r="M162" s="50">
        <f>9</f>
        <v>9</v>
      </c>
      <c r="N162" s="50"/>
      <c r="O162" s="219">
        <f>AA162</f>
        <v>195</v>
      </c>
      <c r="P162" s="120">
        <f>12+12+6</f>
        <v>30</v>
      </c>
      <c r="Q162" s="96">
        <f>I162+J162+K162+L162+M162+N162+O162</f>
        <v>207</v>
      </c>
      <c r="R162" s="97">
        <f>IF(C162=2008, Q162/3,Q162)+P162</f>
        <v>99</v>
      </c>
      <c r="S162" s="22"/>
      <c r="T162" s="50">
        <f>42</f>
        <v>42</v>
      </c>
      <c r="U162" s="50">
        <f>36</f>
        <v>36</v>
      </c>
      <c r="V162" s="50">
        <f>42</f>
        <v>42</v>
      </c>
      <c r="W162" s="50">
        <f>16</f>
        <v>16</v>
      </c>
      <c r="X162" s="50">
        <f>AL162</f>
        <v>53</v>
      </c>
      <c r="Y162" s="120">
        <f>6</f>
        <v>6</v>
      </c>
      <c r="Z162" s="96">
        <f>SUM(T162:X162)</f>
        <v>189</v>
      </c>
      <c r="AA162" s="97">
        <f>IF(C162=2011, Z162/3,Z162)+Y162</f>
        <v>195</v>
      </c>
      <c r="AB162" s="22"/>
      <c r="AC162" s="41">
        <v>3</v>
      </c>
      <c r="AD162" s="41"/>
      <c r="AE162" s="41">
        <f>2</f>
        <v>2</v>
      </c>
      <c r="AF162" s="41"/>
      <c r="AG162" s="41">
        <f>12+3</f>
        <v>15</v>
      </c>
      <c r="AH162" s="41">
        <f>21+12</f>
        <v>33</v>
      </c>
      <c r="AI162" s="41"/>
      <c r="AJ162" s="95"/>
      <c r="AK162" s="96">
        <f>SUM(AC162:AI162)</f>
        <v>53</v>
      </c>
      <c r="AL162" s="97">
        <f>IF(C162=2010, AK162/3,AK162)+AJ162</f>
        <v>53</v>
      </c>
    </row>
    <row r="163" spans="1:57" s="3" customFormat="1" x14ac:dyDescent="0.25">
      <c r="A163" s="53" t="s">
        <v>513</v>
      </c>
      <c r="B163" s="86" t="s">
        <v>86</v>
      </c>
      <c r="C163" s="52">
        <v>2008</v>
      </c>
      <c r="D163" s="1">
        <f>R163+E163+F163</f>
        <v>31</v>
      </c>
      <c r="E163" s="233"/>
      <c r="F163" s="219"/>
      <c r="G163" s="154"/>
      <c r="H163" s="219"/>
      <c r="I163" s="205"/>
      <c r="J163" s="196"/>
      <c r="K163" s="186"/>
      <c r="L163" s="170"/>
      <c r="M163" s="50">
        <f>9+6</f>
        <v>15</v>
      </c>
      <c r="N163" s="50"/>
      <c r="O163" s="219">
        <f>AA163</f>
        <v>78</v>
      </c>
      <c r="P163" s="120"/>
      <c r="Q163" s="96">
        <f>I163+J163+K163+L163+M163+N163+O163</f>
        <v>93</v>
      </c>
      <c r="R163" s="97">
        <f>IF(C163=2008, Q163/3,Q163)+P163</f>
        <v>31</v>
      </c>
      <c r="S163" s="22"/>
      <c r="T163" s="50"/>
      <c r="U163" s="50"/>
      <c r="V163" s="50"/>
      <c r="W163" s="50"/>
      <c r="X163" s="50">
        <f>AL163</f>
        <v>78</v>
      </c>
      <c r="Y163" s="120"/>
      <c r="Z163" s="96">
        <f>SUM(T163:X163)</f>
        <v>78</v>
      </c>
      <c r="AA163" s="97">
        <f>IF(C163=2011, Z163/3,Z163)+Y163</f>
        <v>78</v>
      </c>
      <c r="AB163" s="22"/>
      <c r="AC163" s="41"/>
      <c r="AD163" s="41"/>
      <c r="AE163" s="41"/>
      <c r="AF163" s="41"/>
      <c r="AG163" s="41"/>
      <c r="AH163" s="41"/>
      <c r="AI163" s="41">
        <f>75</f>
        <v>75</v>
      </c>
      <c r="AJ163" s="95">
        <f>3</f>
        <v>3</v>
      </c>
      <c r="AK163" s="96">
        <f>SUM(AC163:AI163)</f>
        <v>75</v>
      </c>
      <c r="AL163" s="97">
        <f>IF(C163=2010, AK163/3,AK163)+AJ163</f>
        <v>78</v>
      </c>
    </row>
    <row r="164" spans="1:57" s="3" customFormat="1" x14ac:dyDescent="0.25">
      <c r="A164" s="60" t="s">
        <v>181</v>
      </c>
      <c r="B164" s="65" t="s">
        <v>87</v>
      </c>
      <c r="C164" s="62">
        <v>2008</v>
      </c>
      <c r="D164" s="1">
        <f>R164+E164+F164</f>
        <v>4</v>
      </c>
      <c r="E164" s="233"/>
      <c r="F164" s="219"/>
      <c r="G164" s="120"/>
      <c r="H164" s="219"/>
      <c r="I164" s="205"/>
      <c r="J164" s="196"/>
      <c r="K164" s="186"/>
      <c r="L164" s="170"/>
      <c r="M164" s="50"/>
      <c r="N164" s="50"/>
      <c r="O164" s="219">
        <f>AA164</f>
        <v>12</v>
      </c>
      <c r="P164" s="120"/>
      <c r="Q164" s="96">
        <f>I164+J164+K164+L164+M164+N164+O164</f>
        <v>12</v>
      </c>
      <c r="R164" s="97">
        <f>IF(C164=2008, Q164/3,Q164)+P164</f>
        <v>4</v>
      </c>
      <c r="S164" s="22"/>
      <c r="T164" s="50"/>
      <c r="U164" s="50"/>
      <c r="V164" s="50"/>
      <c r="W164" s="50"/>
      <c r="X164" s="50">
        <f>AL164</f>
        <v>12</v>
      </c>
      <c r="Y164" s="120"/>
      <c r="Z164" s="96">
        <f>SUM(T164:X164)</f>
        <v>12</v>
      </c>
      <c r="AA164" s="97">
        <f>IF(C164=2011, Z164/3,Z164)+Y164</f>
        <v>12</v>
      </c>
      <c r="AB164" s="22"/>
      <c r="AC164" s="13"/>
      <c r="AD164" s="13">
        <f>12</f>
        <v>12</v>
      </c>
      <c r="AE164" s="13"/>
      <c r="AF164" s="13"/>
      <c r="AG164" s="13"/>
      <c r="AH164" s="13"/>
      <c r="AI164" s="13"/>
      <c r="AJ164" s="95"/>
      <c r="AK164" s="96">
        <f>SUM(AC164:AI164)</f>
        <v>12</v>
      </c>
      <c r="AL164" s="97">
        <f>IF(C164=2010, AK164/3,AK164)+AJ164</f>
        <v>12</v>
      </c>
    </row>
    <row r="165" spans="1:57" s="3" customFormat="1" x14ac:dyDescent="0.25">
      <c r="A165" s="60" t="s">
        <v>583</v>
      </c>
      <c r="B165" s="65" t="s">
        <v>551</v>
      </c>
      <c r="C165" s="62">
        <v>2007</v>
      </c>
      <c r="D165" s="1">
        <f>R165+E165+F165</f>
        <v>32</v>
      </c>
      <c r="E165" s="233"/>
      <c r="F165" s="219"/>
      <c r="G165" s="154"/>
      <c r="H165" s="219"/>
      <c r="I165" s="205"/>
      <c r="J165" s="196"/>
      <c r="K165" s="186"/>
      <c r="L165" s="219"/>
      <c r="M165" s="50"/>
      <c r="N165" s="50"/>
      <c r="O165" s="219">
        <f>AA165</f>
        <v>32</v>
      </c>
      <c r="P165" s="120"/>
      <c r="Q165" s="96">
        <f>I165+J165+K165+L165+M165+N165+O165</f>
        <v>32</v>
      </c>
      <c r="R165" s="97">
        <f>IF(C165=2008, Q165/3,Q165)+P165</f>
        <v>32</v>
      </c>
      <c r="S165" s="22"/>
      <c r="T165" s="50"/>
      <c r="U165" s="50">
        <f>30+12</f>
        <v>42</v>
      </c>
      <c r="V165" s="50"/>
      <c r="W165" s="50">
        <f>6+3</f>
        <v>9</v>
      </c>
      <c r="X165" s="50">
        <f>AL165</f>
        <v>45</v>
      </c>
      <c r="Y165" s="120"/>
      <c r="Z165" s="96">
        <f>SUM(T165:X165)</f>
        <v>96</v>
      </c>
      <c r="AA165" s="97">
        <f>IF(C165=2007, Z165/3,Z165)+Y165</f>
        <v>32</v>
      </c>
      <c r="AB165" s="22"/>
      <c r="AC165" s="13"/>
      <c r="AD165" s="13">
        <f>21+24</f>
        <v>45</v>
      </c>
      <c r="AE165" s="13"/>
      <c r="AF165" s="13"/>
      <c r="AG165" s="13"/>
      <c r="AH165" s="13"/>
      <c r="AI165" s="13"/>
      <c r="AJ165" s="95"/>
      <c r="AK165" s="96">
        <f>SUM(AC165:AI165)</f>
        <v>45</v>
      </c>
      <c r="AL165" s="97">
        <f>IF(C165=2010, AK165/3,AK165)+AJ165</f>
        <v>45</v>
      </c>
    </row>
    <row r="166" spans="1:57" s="3" customFormat="1" x14ac:dyDescent="0.25">
      <c r="A166" s="60" t="s">
        <v>190</v>
      </c>
      <c r="B166" s="85" t="s">
        <v>64</v>
      </c>
      <c r="C166" s="62">
        <v>2007</v>
      </c>
      <c r="D166" s="1">
        <f>R166+E166+F166</f>
        <v>14</v>
      </c>
      <c r="E166" s="233"/>
      <c r="F166" s="219"/>
      <c r="G166" s="154"/>
      <c r="H166" s="219"/>
      <c r="I166" s="205"/>
      <c r="J166" s="196"/>
      <c r="K166" s="186"/>
      <c r="L166" s="170"/>
      <c r="M166" s="50">
        <f>0+3+3</f>
        <v>6</v>
      </c>
      <c r="N166" s="50"/>
      <c r="O166" s="219">
        <f>AA166</f>
        <v>8</v>
      </c>
      <c r="P166" s="120"/>
      <c r="Q166" s="96">
        <f>I166+J166+K166+L166+M166+N166+O166</f>
        <v>14</v>
      </c>
      <c r="R166" s="97">
        <f>IF(C166=2008, Q166/3,Q166)+P166</f>
        <v>14</v>
      </c>
      <c r="S166" s="22"/>
      <c r="T166" s="50"/>
      <c r="U166" s="50"/>
      <c r="V166" s="50"/>
      <c r="W166" s="50"/>
      <c r="X166" s="50">
        <f>AL166</f>
        <v>24</v>
      </c>
      <c r="Y166" s="120"/>
      <c r="Z166" s="96">
        <f>SUM(T166:X166)</f>
        <v>24</v>
      </c>
      <c r="AA166" s="97">
        <f>IF(C166=2007, Z166/3,Z166)+Y166</f>
        <v>8</v>
      </c>
      <c r="AB166" s="22"/>
      <c r="AC166" s="13"/>
      <c r="AD166" s="13">
        <v>24</v>
      </c>
      <c r="AE166" s="13"/>
      <c r="AF166" s="13"/>
      <c r="AG166" s="13"/>
      <c r="AH166" s="13"/>
      <c r="AI166" s="13"/>
      <c r="AJ166" s="95"/>
      <c r="AK166" s="96">
        <f>SUM(AC166:AI166)</f>
        <v>24</v>
      </c>
      <c r="AL166" s="97">
        <f>IF(C166=2010, AK166/3,AK166)+AJ166</f>
        <v>24</v>
      </c>
    </row>
    <row r="167" spans="1:57" s="3" customFormat="1" x14ac:dyDescent="0.25">
      <c r="A167" s="60" t="s">
        <v>503</v>
      </c>
      <c r="B167" s="85" t="s">
        <v>479</v>
      </c>
      <c r="C167" s="62">
        <v>2007</v>
      </c>
      <c r="D167" s="1">
        <f>R167+E167+F167</f>
        <v>36</v>
      </c>
      <c r="E167" s="233">
        <f>6</f>
        <v>6</v>
      </c>
      <c r="F167" s="219"/>
      <c r="G167" s="154"/>
      <c r="H167" s="219"/>
      <c r="I167" s="205"/>
      <c r="J167" s="196"/>
      <c r="K167" s="186"/>
      <c r="L167" s="170"/>
      <c r="M167" s="50">
        <f>2</f>
        <v>2</v>
      </c>
      <c r="N167" s="50"/>
      <c r="O167" s="219">
        <f>AA167</f>
        <v>28</v>
      </c>
      <c r="P167" s="120"/>
      <c r="Q167" s="96">
        <f>I167+J167+K167+L167+M167+N167+O167</f>
        <v>30</v>
      </c>
      <c r="R167" s="97">
        <f>IF(C167=2008, Q167/3,Q167)+P167</f>
        <v>30</v>
      </c>
      <c r="S167" s="22"/>
      <c r="T167" s="50"/>
      <c r="U167" s="50">
        <f>22+3</f>
        <v>25</v>
      </c>
      <c r="V167" s="50">
        <f>32+5</f>
        <v>37</v>
      </c>
      <c r="W167" s="50">
        <f>19</f>
        <v>19</v>
      </c>
      <c r="X167" s="50">
        <f>AL167</f>
        <v>3</v>
      </c>
      <c r="Y167" s="120"/>
      <c r="Z167" s="96">
        <f>SUM(T167:X167)</f>
        <v>84</v>
      </c>
      <c r="AA167" s="97">
        <f>IF(C167=2007, Z167/3,Z167)+Y167</f>
        <v>28</v>
      </c>
      <c r="AB167" s="22"/>
      <c r="AC167" s="13"/>
      <c r="AD167" s="13"/>
      <c r="AE167" s="13"/>
      <c r="AF167" s="13"/>
      <c r="AG167" s="13"/>
      <c r="AH167" s="13">
        <f>3</f>
        <v>3</v>
      </c>
      <c r="AI167" s="13"/>
      <c r="AJ167" s="95"/>
      <c r="AK167" s="96">
        <f>SUM(AC167:AI167)</f>
        <v>3</v>
      </c>
      <c r="AL167" s="97">
        <f>IF(C167=2010, AK167/3,AK167)+AJ167</f>
        <v>3</v>
      </c>
    </row>
    <row r="168" spans="1:57" s="3" customFormat="1" x14ac:dyDescent="0.25">
      <c r="A168" s="60" t="s">
        <v>212</v>
      </c>
      <c r="B168" s="65" t="s">
        <v>86</v>
      </c>
      <c r="C168" s="62">
        <v>2005</v>
      </c>
      <c r="D168" s="1">
        <f>R168+E168+F168</f>
        <v>3</v>
      </c>
      <c r="E168" s="233"/>
      <c r="F168" s="219"/>
      <c r="G168" s="154"/>
      <c r="H168" s="219"/>
      <c r="I168" s="205"/>
      <c r="J168" s="196"/>
      <c r="K168" s="186"/>
      <c r="L168" s="170"/>
      <c r="M168" s="50"/>
      <c r="N168" s="50"/>
      <c r="O168" s="219">
        <f>AA168</f>
        <v>3</v>
      </c>
      <c r="P168" s="120"/>
      <c r="Q168" s="96">
        <f>I168+J168+K168+L168+M168+N168+O168</f>
        <v>3</v>
      </c>
      <c r="R168" s="97">
        <f>IF(C168=2008, Q168/3,Q168)+P168</f>
        <v>3</v>
      </c>
      <c r="S168" s="22"/>
      <c r="T168" s="50"/>
      <c r="U168" s="50"/>
      <c r="V168" s="50"/>
      <c r="W168" s="50"/>
      <c r="X168" s="50">
        <f>AL168</f>
        <v>3</v>
      </c>
      <c r="Y168" s="120"/>
      <c r="Z168" s="96">
        <f>SUM(T168:X168)</f>
        <v>3</v>
      </c>
      <c r="AA168" s="97">
        <f>IF(C168=2007, Z168/3,Z168)+Y168</f>
        <v>3</v>
      </c>
      <c r="AB168" s="22"/>
      <c r="AC168" s="26"/>
      <c r="AD168" s="26">
        <v>2</v>
      </c>
      <c r="AE168" s="26"/>
      <c r="AF168" s="26">
        <f>1</f>
        <v>1</v>
      </c>
      <c r="AG168" s="26"/>
      <c r="AH168" s="26"/>
      <c r="AI168" s="26"/>
      <c r="AJ168" s="95"/>
      <c r="AK168" s="96">
        <f>SUM(AC168:AI168)</f>
        <v>3</v>
      </c>
      <c r="AL168" s="97">
        <f>IF(C168=2006, AK168/3,AK168)+AJ168</f>
        <v>3</v>
      </c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</row>
    <row r="169" spans="1:57" s="3" customFormat="1" x14ac:dyDescent="0.25">
      <c r="A169" s="53" t="s">
        <v>502</v>
      </c>
      <c r="B169" s="84" t="s">
        <v>232</v>
      </c>
      <c r="C169" s="54">
        <v>2007</v>
      </c>
      <c r="D169" s="1">
        <f>R169+E169+F169</f>
        <v>1</v>
      </c>
      <c r="E169" s="233"/>
      <c r="F169" s="219"/>
      <c r="G169" s="154"/>
      <c r="H169" s="219"/>
      <c r="I169" s="205"/>
      <c r="J169" s="196"/>
      <c r="K169" s="186"/>
      <c r="L169" s="170"/>
      <c r="M169" s="50"/>
      <c r="N169" s="50"/>
      <c r="O169" s="219">
        <f>AA169</f>
        <v>1</v>
      </c>
      <c r="P169" s="120"/>
      <c r="Q169" s="96">
        <f>I169+J169+K169+L169+M169+N169+O169</f>
        <v>1</v>
      </c>
      <c r="R169" s="97">
        <f>IF(C169=2008, Q169/3,Q169)+P169</f>
        <v>1</v>
      </c>
      <c r="S169" s="22"/>
      <c r="T169" s="50"/>
      <c r="U169" s="50"/>
      <c r="V169" s="50"/>
      <c r="W169" s="50"/>
      <c r="X169" s="50">
        <f>AL169</f>
        <v>3</v>
      </c>
      <c r="Y169" s="120"/>
      <c r="Z169" s="96">
        <f>SUM(T169:X169)</f>
        <v>3</v>
      </c>
      <c r="AA169" s="97">
        <f>IF(C169=2007, Z169/3,Z169)+Y169</f>
        <v>1</v>
      </c>
      <c r="AB169" s="22"/>
      <c r="AC169" s="41"/>
      <c r="AD169" s="41"/>
      <c r="AE169" s="41"/>
      <c r="AF169" s="41"/>
      <c r="AG169" s="41"/>
      <c r="AH169" s="41">
        <f>3</f>
        <v>3</v>
      </c>
      <c r="AI169" s="41"/>
      <c r="AJ169" s="95"/>
      <c r="AK169" s="96">
        <f>SUM(AC169:AI169)</f>
        <v>3</v>
      </c>
      <c r="AL169" s="97">
        <f>IF(C169=2010, AK169/3,AK169)+AJ169</f>
        <v>3</v>
      </c>
    </row>
    <row r="170" spans="1:57" s="3" customFormat="1" x14ac:dyDescent="0.25">
      <c r="A170" s="60" t="s">
        <v>524</v>
      </c>
      <c r="B170" s="65" t="s">
        <v>63</v>
      </c>
      <c r="C170" s="62">
        <v>2002</v>
      </c>
      <c r="D170" s="1">
        <f>R170+E170+F170</f>
        <v>51</v>
      </c>
      <c r="E170" s="233"/>
      <c r="F170" s="219"/>
      <c r="G170" s="120"/>
      <c r="H170" s="219"/>
      <c r="I170" s="205"/>
      <c r="J170" s="196"/>
      <c r="K170" s="186"/>
      <c r="L170" s="237">
        <f>9</f>
        <v>9</v>
      </c>
      <c r="M170" s="50">
        <f>9</f>
        <v>9</v>
      </c>
      <c r="N170" s="50"/>
      <c r="O170" s="219">
        <f>AA170</f>
        <v>33</v>
      </c>
      <c r="P170" s="120"/>
      <c r="Q170" s="96">
        <f>I170+J170+K170+L170+M170+N170+O170</f>
        <v>51</v>
      </c>
      <c r="R170" s="97">
        <f>IF(C170=2008, Q170/3,Q170)+P170</f>
        <v>51</v>
      </c>
      <c r="S170" s="22"/>
      <c r="T170" s="50"/>
      <c r="U170" s="50"/>
      <c r="V170" s="50">
        <f>3</f>
        <v>3</v>
      </c>
      <c r="W170" s="50">
        <f>9+3+3</f>
        <v>15</v>
      </c>
      <c r="X170" s="50">
        <f>AL170</f>
        <v>15</v>
      </c>
      <c r="Y170" s="120"/>
      <c r="Z170" s="96">
        <f>SUM(T170:X170)</f>
        <v>33</v>
      </c>
      <c r="AA170" s="97">
        <f>IF(C170=2007, Z170/3,Z170)+Y170</f>
        <v>33</v>
      </c>
      <c r="AB170" s="22"/>
      <c r="AC170" s="26"/>
      <c r="AD170" s="26"/>
      <c r="AE170" s="26"/>
      <c r="AF170" s="26"/>
      <c r="AG170" s="26"/>
      <c r="AH170" s="26">
        <f>6+3+6</f>
        <v>15</v>
      </c>
      <c r="AI170" s="26"/>
      <c r="AJ170" s="95"/>
      <c r="AK170" s="96">
        <f>SUM(AC170:AI170)</f>
        <v>15</v>
      </c>
      <c r="AL170" s="97">
        <f>IF(C170=2006, AK170/3,AK170)+AJ170</f>
        <v>15</v>
      </c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</row>
    <row r="171" spans="1:57" s="3" customFormat="1" x14ac:dyDescent="0.25">
      <c r="A171" s="60" t="s">
        <v>168</v>
      </c>
      <c r="B171" s="65" t="s">
        <v>111</v>
      </c>
      <c r="C171" s="62">
        <v>2008</v>
      </c>
      <c r="D171" s="1">
        <f>R171+E171+F171</f>
        <v>36</v>
      </c>
      <c r="E171" s="237"/>
      <c r="F171" s="237"/>
      <c r="G171" s="120"/>
      <c r="H171" s="237"/>
      <c r="I171" s="205"/>
      <c r="J171" s="196"/>
      <c r="K171" s="186"/>
      <c r="L171" s="170"/>
      <c r="M171" s="50"/>
      <c r="N171" s="50"/>
      <c r="O171" s="219">
        <f>AA171</f>
        <v>108</v>
      </c>
      <c r="P171" s="120"/>
      <c r="Q171" s="96">
        <f>I171+J171+K171+L171+M171+N171+O171</f>
        <v>108</v>
      </c>
      <c r="R171" s="97">
        <f>IF(C171=2008, Q171/3,Q171)+P171</f>
        <v>36</v>
      </c>
      <c r="S171" s="22"/>
      <c r="T171" s="50"/>
      <c r="U171" s="50">
        <f>16</f>
        <v>16</v>
      </c>
      <c r="V171" s="50">
        <f>14</f>
        <v>14</v>
      </c>
      <c r="W171" s="50">
        <f>21</f>
        <v>21</v>
      </c>
      <c r="X171" s="50">
        <f>AL171</f>
        <v>57</v>
      </c>
      <c r="Y171" s="120"/>
      <c r="Z171" s="96">
        <f>SUM(T171:X171)</f>
        <v>108</v>
      </c>
      <c r="AA171" s="97">
        <f>IF(C171=2011, Z171/3,Z171)+Y171</f>
        <v>108</v>
      </c>
      <c r="AB171" s="22"/>
      <c r="AC171" s="13"/>
      <c r="AD171" s="13">
        <v>12</v>
      </c>
      <c r="AE171" s="13"/>
      <c r="AF171" s="13">
        <f>20+1</f>
        <v>21</v>
      </c>
      <c r="AG171" s="13">
        <f>8</f>
        <v>8</v>
      </c>
      <c r="AH171" s="13">
        <f>16</f>
        <v>16</v>
      </c>
      <c r="AI171" s="13"/>
      <c r="AJ171" s="95"/>
      <c r="AK171" s="96">
        <f>SUM(AC171:AI171)</f>
        <v>57</v>
      </c>
      <c r="AL171" s="97">
        <f>IF(C171=2010, AK171/3,AK171)+AJ171</f>
        <v>57</v>
      </c>
    </row>
    <row r="172" spans="1:57" s="3" customFormat="1" x14ac:dyDescent="0.25">
      <c r="A172" s="53" t="s">
        <v>57</v>
      </c>
      <c r="B172" s="86" t="s">
        <v>929</v>
      </c>
      <c r="C172" s="52">
        <v>2007</v>
      </c>
      <c r="D172" s="1">
        <f>R172+E172+F172</f>
        <v>6.6666666666666661</v>
      </c>
      <c r="E172" s="233"/>
      <c r="F172" s="219">
        <f>0+3</f>
        <v>3</v>
      </c>
      <c r="G172" s="154"/>
      <c r="H172" s="219"/>
      <c r="I172" s="205">
        <f>0</f>
        <v>0</v>
      </c>
      <c r="J172" s="196"/>
      <c r="K172" s="186">
        <f>3</f>
        <v>3</v>
      </c>
      <c r="L172" s="74"/>
      <c r="M172" s="50"/>
      <c r="N172" s="50"/>
      <c r="O172" s="219">
        <f>AA172</f>
        <v>0.66666666666666663</v>
      </c>
      <c r="P172" s="120"/>
      <c r="Q172" s="96">
        <f>I172+J172+K172+L172+M172+N172+O172</f>
        <v>3.6666666666666665</v>
      </c>
      <c r="R172" s="97">
        <f>IF(C172=2008, Q172/3,Q172)+P172</f>
        <v>3.6666666666666665</v>
      </c>
      <c r="S172" s="22"/>
      <c r="T172" s="50"/>
      <c r="U172" s="50"/>
      <c r="V172" s="50"/>
      <c r="W172" s="50"/>
      <c r="X172" s="50">
        <f>AL172</f>
        <v>2</v>
      </c>
      <c r="Y172" s="120"/>
      <c r="Z172" s="96">
        <f>SUM(T172:X172)</f>
        <v>2</v>
      </c>
      <c r="AA172" s="97">
        <f>IF(C172=2007, Z172/3,Z172)+Y172</f>
        <v>0.66666666666666663</v>
      </c>
      <c r="AB172" s="22"/>
      <c r="AC172" s="41">
        <v>2</v>
      </c>
      <c r="AD172" s="41"/>
      <c r="AE172" s="41"/>
      <c r="AF172" s="41"/>
      <c r="AG172" s="41"/>
      <c r="AH172" s="41"/>
      <c r="AI172" s="41"/>
      <c r="AJ172" s="95"/>
      <c r="AK172" s="96">
        <f>SUM(AC172:AI172)</f>
        <v>2</v>
      </c>
      <c r="AL172" s="97">
        <f>IF(C172=2010, AK172/3,AK172)+AJ172</f>
        <v>2</v>
      </c>
    </row>
    <row r="173" spans="1:57" s="3" customFormat="1" x14ac:dyDescent="0.25">
      <c r="A173" s="60" t="s">
        <v>534</v>
      </c>
      <c r="B173" s="65" t="s">
        <v>532</v>
      </c>
      <c r="C173" s="62">
        <v>2005</v>
      </c>
      <c r="D173" s="1">
        <f>R173+E173+F173</f>
        <v>8</v>
      </c>
      <c r="E173" s="156"/>
      <c r="F173" s="156"/>
      <c r="G173" s="154"/>
      <c r="H173" s="156"/>
      <c r="I173" s="205"/>
      <c r="J173" s="196"/>
      <c r="K173" s="186"/>
      <c r="L173" s="170"/>
      <c r="M173" s="50"/>
      <c r="N173" s="50"/>
      <c r="O173" s="219">
        <f>AA173</f>
        <v>8</v>
      </c>
      <c r="P173" s="120"/>
      <c r="Q173" s="96">
        <f>I173+J173+K173+L173+M173+N173+O173</f>
        <v>8</v>
      </c>
      <c r="R173" s="97">
        <f>IF(C173=2008, Q173/3,Q173)+P173</f>
        <v>8</v>
      </c>
      <c r="S173" s="22"/>
      <c r="T173" s="50"/>
      <c r="U173" s="50"/>
      <c r="V173" s="50"/>
      <c r="W173" s="50"/>
      <c r="X173" s="50">
        <f>AL173</f>
        <v>8</v>
      </c>
      <c r="Y173" s="120"/>
      <c r="Z173" s="96">
        <f>SUM(T173:X173)</f>
        <v>8</v>
      </c>
      <c r="AA173" s="97">
        <f>IF(C173=2007, Z173/3,Z173)+Y173</f>
        <v>8</v>
      </c>
      <c r="AB173" s="22"/>
      <c r="AC173" s="26"/>
      <c r="AD173" s="26"/>
      <c r="AE173" s="26"/>
      <c r="AF173" s="26"/>
      <c r="AG173" s="26"/>
      <c r="AH173" s="26">
        <f>0</f>
        <v>0</v>
      </c>
      <c r="AI173" s="26">
        <f>8</f>
        <v>8</v>
      </c>
      <c r="AJ173" s="95"/>
      <c r="AK173" s="96">
        <f>SUM(AC173:AI173)</f>
        <v>8</v>
      </c>
      <c r="AL173" s="97">
        <f>IF(C173=2006, AK173/3,AK173)+AJ173</f>
        <v>8</v>
      </c>
    </row>
    <row r="174" spans="1:57" s="3" customFormat="1" x14ac:dyDescent="0.25">
      <c r="A174" s="51" t="s">
        <v>33</v>
      </c>
      <c r="B174" s="84" t="s">
        <v>86</v>
      </c>
      <c r="C174" s="52">
        <v>2007</v>
      </c>
      <c r="D174" s="1">
        <f>R174+E174+F174</f>
        <v>181</v>
      </c>
      <c r="E174" s="233"/>
      <c r="F174" s="219"/>
      <c r="G174" s="120"/>
      <c r="H174" s="219"/>
      <c r="I174" s="205"/>
      <c r="J174" s="196"/>
      <c r="K174" s="186"/>
      <c r="L174" s="170"/>
      <c r="M174" s="50">
        <f>36+6+6</f>
        <v>48</v>
      </c>
      <c r="N174" s="50"/>
      <c r="O174" s="219">
        <f>AA174</f>
        <v>133</v>
      </c>
      <c r="P174" s="120"/>
      <c r="Q174" s="96">
        <f>I174+J174+K174+L174+M174+N174+O174</f>
        <v>181</v>
      </c>
      <c r="R174" s="97">
        <f>IF(C174=2008, Q174/3,Q174)+P174</f>
        <v>181</v>
      </c>
      <c r="S174" s="22"/>
      <c r="T174" s="50"/>
      <c r="U174" s="50"/>
      <c r="V174" s="50">
        <f>231+102</f>
        <v>333</v>
      </c>
      <c r="W174" s="50"/>
      <c r="X174" s="50">
        <f>AL174</f>
        <v>66</v>
      </c>
      <c r="Y174" s="120"/>
      <c r="Z174" s="96">
        <f>SUM(T174:X174)</f>
        <v>399</v>
      </c>
      <c r="AA174" s="97">
        <f>IF(C174=2007, Z174/3,Z174)+Y174</f>
        <v>133</v>
      </c>
      <c r="AB174" s="22"/>
      <c r="AC174" s="237">
        <f>12+6</f>
        <v>18</v>
      </c>
      <c r="AD174" s="237"/>
      <c r="AE174" s="237"/>
      <c r="AF174" s="237"/>
      <c r="AG174" s="237"/>
      <c r="AH174" s="237"/>
      <c r="AI174" s="237">
        <v>48</v>
      </c>
      <c r="AJ174" s="95"/>
      <c r="AK174" s="96">
        <f>SUM(AC174:AI174)</f>
        <v>66</v>
      </c>
      <c r="AL174" s="97">
        <f>IF(C174=2010, AK174/3,AK174)+AJ174</f>
        <v>66</v>
      </c>
    </row>
    <row r="175" spans="1:57" s="3" customFormat="1" x14ac:dyDescent="0.25">
      <c r="A175" s="60" t="s">
        <v>512</v>
      </c>
      <c r="B175" s="85" t="s">
        <v>36</v>
      </c>
      <c r="C175" s="62">
        <v>2008</v>
      </c>
      <c r="D175" s="1">
        <f>R175+E175+F175</f>
        <v>15.333333333333334</v>
      </c>
      <c r="E175" s="233"/>
      <c r="F175" s="219"/>
      <c r="G175" s="154"/>
      <c r="H175" s="219"/>
      <c r="I175" s="205"/>
      <c r="J175" s="196"/>
      <c r="K175" s="186"/>
      <c r="L175" s="170"/>
      <c r="M175" s="50"/>
      <c r="N175" s="50"/>
      <c r="O175" s="219">
        <f>AA175</f>
        <v>46</v>
      </c>
      <c r="P175" s="120"/>
      <c r="Q175" s="96">
        <f>I175+J175+K175+L175+M175+N175+O175</f>
        <v>46</v>
      </c>
      <c r="R175" s="97">
        <f>IF(C175=2008, Q175/3,Q175)+P175</f>
        <v>15.333333333333334</v>
      </c>
      <c r="S175" s="22"/>
      <c r="T175" s="50"/>
      <c r="U175" s="50"/>
      <c r="V175" s="50"/>
      <c r="W175" s="50"/>
      <c r="X175" s="50">
        <f>AL175</f>
        <v>46</v>
      </c>
      <c r="Y175" s="120"/>
      <c r="Z175" s="96">
        <f>SUM(T175:X175)</f>
        <v>46</v>
      </c>
      <c r="AA175" s="97">
        <f>IF(C175=2011, Z175/3,Z175)+Y175</f>
        <v>46</v>
      </c>
      <c r="AB175" s="22"/>
      <c r="AC175" s="13"/>
      <c r="AD175" s="13"/>
      <c r="AE175" s="13"/>
      <c r="AF175" s="13"/>
      <c r="AG175" s="13"/>
      <c r="AH175" s="13">
        <f>0+4</f>
        <v>4</v>
      </c>
      <c r="AI175" s="13">
        <f>42</f>
        <v>42</v>
      </c>
      <c r="AJ175" s="95"/>
      <c r="AK175" s="96">
        <f>SUM(AC175:AI175)</f>
        <v>46</v>
      </c>
      <c r="AL175" s="97">
        <f>IF(C175=2010, AK175/3,AK175)+AJ175</f>
        <v>46</v>
      </c>
    </row>
    <row r="176" spans="1:57" s="3" customFormat="1" x14ac:dyDescent="0.25">
      <c r="A176" s="61" t="s">
        <v>150</v>
      </c>
      <c r="B176" s="85" t="s">
        <v>64</v>
      </c>
      <c r="C176" s="63">
        <v>2008</v>
      </c>
      <c r="D176" s="1">
        <f>R176+E176+F176</f>
        <v>1.3333333333333333</v>
      </c>
      <c r="E176" s="233"/>
      <c r="F176" s="219"/>
      <c r="G176" s="120"/>
      <c r="H176" s="219"/>
      <c r="I176" s="205"/>
      <c r="J176" s="196"/>
      <c r="K176" s="186"/>
      <c r="L176" s="170"/>
      <c r="M176" s="50"/>
      <c r="N176" s="50"/>
      <c r="O176" s="219">
        <f>AA176</f>
        <v>4</v>
      </c>
      <c r="P176" s="120"/>
      <c r="Q176" s="96">
        <f>I176+J176+K176+L176+M176+N176+O176</f>
        <v>4</v>
      </c>
      <c r="R176" s="97">
        <f>IF(C176=2008, Q176/3,Q176)+P176</f>
        <v>1.3333333333333333</v>
      </c>
      <c r="S176" s="22"/>
      <c r="T176" s="50"/>
      <c r="U176" s="50"/>
      <c r="V176" s="50"/>
      <c r="W176" s="50"/>
      <c r="X176" s="50">
        <f>AL176</f>
        <v>4</v>
      </c>
      <c r="Y176" s="120"/>
      <c r="Z176" s="96">
        <f>SUM(T176:X176)</f>
        <v>4</v>
      </c>
      <c r="AA176" s="97">
        <f>IF(C176=2011, Z176/3,Z176)+Y176</f>
        <v>4</v>
      </c>
      <c r="AB176" s="22"/>
      <c r="AC176" s="13"/>
      <c r="AD176" s="13">
        <v>4</v>
      </c>
      <c r="AE176" s="13"/>
      <c r="AF176" s="13"/>
      <c r="AG176" s="13"/>
      <c r="AH176" s="13"/>
      <c r="AI176" s="13"/>
      <c r="AJ176" s="95"/>
      <c r="AK176" s="96">
        <f>SUM(AC176:AI176)</f>
        <v>4</v>
      </c>
      <c r="AL176" s="97">
        <f>IF(C176=2010, AK176/3,AK176)+AJ176</f>
        <v>4</v>
      </c>
    </row>
    <row r="177" spans="1:57" s="3" customFormat="1" x14ac:dyDescent="0.25">
      <c r="A177" s="60" t="s">
        <v>536</v>
      </c>
      <c r="B177" s="65" t="s">
        <v>532</v>
      </c>
      <c r="C177" s="62">
        <v>2005</v>
      </c>
      <c r="D177" s="1">
        <f>R177+E177+F177</f>
        <v>23</v>
      </c>
      <c r="E177" s="233"/>
      <c r="F177" s="219"/>
      <c r="G177" s="154"/>
      <c r="H177" s="219"/>
      <c r="I177" s="205"/>
      <c r="J177" s="196"/>
      <c r="K177" s="186"/>
      <c r="L177" s="170"/>
      <c r="M177" s="50"/>
      <c r="N177" s="50"/>
      <c r="O177" s="219">
        <f>AA177</f>
        <v>23</v>
      </c>
      <c r="P177" s="120"/>
      <c r="Q177" s="96">
        <f>I177+J177+K177+L177+M177+N177+O177</f>
        <v>23</v>
      </c>
      <c r="R177" s="97">
        <f>IF(C177=2008, Q177/3,Q177)+P177</f>
        <v>23</v>
      </c>
      <c r="S177" s="22"/>
      <c r="T177" s="50"/>
      <c r="U177" s="50"/>
      <c r="V177" s="50"/>
      <c r="W177" s="50"/>
      <c r="X177" s="50">
        <f>AL177</f>
        <v>23</v>
      </c>
      <c r="Y177" s="120"/>
      <c r="Z177" s="96">
        <f>SUM(T177:X177)</f>
        <v>23</v>
      </c>
      <c r="AA177" s="97">
        <f>IF(C177=2007, Z177/3,Z177)+Y177</f>
        <v>23</v>
      </c>
      <c r="AB177" s="22"/>
      <c r="AC177" s="26"/>
      <c r="AD177" s="26"/>
      <c r="AE177" s="26"/>
      <c r="AF177" s="26"/>
      <c r="AG177" s="26"/>
      <c r="AH177" s="26">
        <f>0</f>
        <v>0</v>
      </c>
      <c r="AI177" s="26">
        <f>23</f>
        <v>23</v>
      </c>
      <c r="AJ177" s="95"/>
      <c r="AK177" s="96">
        <f>SUM(AC177:AI177)</f>
        <v>23</v>
      </c>
      <c r="AL177" s="97">
        <f>IF(C177=2006, AK177/3,AK177)+AJ177</f>
        <v>23</v>
      </c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</row>
    <row r="178" spans="1:57" s="3" customFormat="1" x14ac:dyDescent="0.25">
      <c r="A178" s="11" t="s">
        <v>799</v>
      </c>
      <c r="B178" s="60" t="s">
        <v>64</v>
      </c>
      <c r="C178" s="62">
        <v>2006</v>
      </c>
      <c r="D178" s="1">
        <f>R178+E178+F178</f>
        <v>18</v>
      </c>
      <c r="E178" s="233"/>
      <c r="F178" s="219"/>
      <c r="G178" s="154"/>
      <c r="H178" s="219"/>
      <c r="I178" s="205"/>
      <c r="J178" s="196"/>
      <c r="K178" s="186"/>
      <c r="L178" s="170"/>
      <c r="M178" s="50">
        <f>0+3</f>
        <v>3</v>
      </c>
      <c r="N178" s="50">
        <f>9+6</f>
        <v>15</v>
      </c>
      <c r="O178" s="219">
        <f>AA178</f>
        <v>0</v>
      </c>
      <c r="P178" s="120"/>
      <c r="Q178" s="96">
        <f>I178+J178+K178+L178+M178+N178+O178</f>
        <v>18</v>
      </c>
      <c r="R178" s="97">
        <f>IF(C178=2008, Q178/3,Q178)+P178</f>
        <v>18</v>
      </c>
      <c r="S178" s="22"/>
      <c r="T178" s="50"/>
      <c r="U178" s="50"/>
      <c r="V178" s="50"/>
      <c r="W178" s="50"/>
      <c r="X178" s="50"/>
      <c r="Y178" s="120"/>
      <c r="Z178" s="96"/>
      <c r="AA178" s="97"/>
      <c r="AB178" s="22"/>
      <c r="AC178" s="41"/>
      <c r="AD178" s="41"/>
      <c r="AE178" s="41"/>
      <c r="AF178" s="41"/>
      <c r="AG178" s="41"/>
      <c r="AH178" s="41"/>
      <c r="AI178" s="13"/>
      <c r="AJ178" s="95"/>
      <c r="AK178" s="96"/>
      <c r="AL178" s="97"/>
    </row>
    <row r="179" spans="1:57" s="3" customFormat="1" x14ac:dyDescent="0.25">
      <c r="A179" s="71" t="s">
        <v>278</v>
      </c>
      <c r="B179" s="19" t="s">
        <v>232</v>
      </c>
      <c r="C179" s="72">
        <v>2008</v>
      </c>
      <c r="D179" s="1">
        <f>R179+E179+F179</f>
        <v>8.6666666666666661</v>
      </c>
      <c r="E179" s="233"/>
      <c r="F179" s="219"/>
      <c r="G179" s="154"/>
      <c r="H179" s="219"/>
      <c r="I179" s="205"/>
      <c r="J179" s="196"/>
      <c r="K179" s="186"/>
      <c r="L179" s="170"/>
      <c r="M179" s="50"/>
      <c r="N179" s="50"/>
      <c r="O179" s="219">
        <f>AA179</f>
        <v>26</v>
      </c>
      <c r="P179" s="120"/>
      <c r="Q179" s="96">
        <f>I179+J179+K179+L179+M179+N179+O179</f>
        <v>26</v>
      </c>
      <c r="R179" s="97">
        <f>IF(C179=2008, Q179/3,Q179)+P179</f>
        <v>8.6666666666666661</v>
      </c>
      <c r="S179" s="22"/>
      <c r="T179" s="237"/>
      <c r="U179" s="237"/>
      <c r="V179" s="50"/>
      <c r="W179" s="50">
        <f>14</f>
        <v>14</v>
      </c>
      <c r="X179" s="50">
        <f>AL179</f>
        <v>12</v>
      </c>
      <c r="Y179" s="120"/>
      <c r="Z179" s="96">
        <f>SUM(T179:X179)</f>
        <v>26</v>
      </c>
      <c r="AA179" s="97">
        <f>IF(C179=2011, Z179/3,Z179)+Y179</f>
        <v>26</v>
      </c>
      <c r="AB179" s="22"/>
      <c r="AC179" s="13"/>
      <c r="AD179" s="13"/>
      <c r="AE179" s="13">
        <v>12</v>
      </c>
      <c r="AF179" s="13"/>
      <c r="AG179" s="13"/>
      <c r="AH179" s="13"/>
      <c r="AI179" s="13"/>
      <c r="AJ179" s="95"/>
      <c r="AK179" s="96">
        <f>SUM(AC179:AI179)</f>
        <v>12</v>
      </c>
      <c r="AL179" s="97">
        <f>IF(C179=2010, AK179/3,AK179)+AJ179</f>
        <v>12</v>
      </c>
    </row>
    <row r="180" spans="1:57" s="3" customFormat="1" x14ac:dyDescent="0.25">
      <c r="A180" s="60" t="s">
        <v>152</v>
      </c>
      <c r="B180" s="65" t="s">
        <v>87</v>
      </c>
      <c r="C180" s="62">
        <v>2006</v>
      </c>
      <c r="D180" s="1">
        <f>R180+E180+F180</f>
        <v>7</v>
      </c>
      <c r="E180" s="233"/>
      <c r="F180" s="219"/>
      <c r="G180" s="120"/>
      <c r="H180" s="219"/>
      <c r="I180" s="205"/>
      <c r="J180" s="196"/>
      <c r="K180" s="186"/>
      <c r="L180" s="170"/>
      <c r="M180" s="50"/>
      <c r="N180" s="50"/>
      <c r="O180" s="219">
        <f>AA180</f>
        <v>7</v>
      </c>
      <c r="P180" s="120"/>
      <c r="Q180" s="96">
        <f>I180+J180+K180+L180+M180+N180+O180</f>
        <v>7</v>
      </c>
      <c r="R180" s="97">
        <f>IF(C180=2008, Q180/3,Q180)+P180</f>
        <v>7</v>
      </c>
      <c r="S180" s="22"/>
      <c r="T180" s="50"/>
      <c r="U180" s="50"/>
      <c r="V180" s="50"/>
      <c r="W180" s="50"/>
      <c r="X180" s="50">
        <f>AL180</f>
        <v>7</v>
      </c>
      <c r="Y180" s="120"/>
      <c r="Z180" s="96">
        <f>SUM(T180:X180)</f>
        <v>7</v>
      </c>
      <c r="AA180" s="97">
        <f>IF(C180=2007, Z180/3,Z180)+Y180</f>
        <v>7</v>
      </c>
      <c r="AB180" s="22"/>
      <c r="AC180" s="13"/>
      <c r="AD180" s="13">
        <f>19+2</f>
        <v>21</v>
      </c>
      <c r="AE180" s="13"/>
      <c r="AF180" s="13"/>
      <c r="AG180" s="13"/>
      <c r="AH180" s="13"/>
      <c r="AI180" s="13"/>
      <c r="AJ180" s="95"/>
      <c r="AK180" s="96">
        <f>SUM(AC180:AI180)</f>
        <v>21</v>
      </c>
      <c r="AL180" s="97">
        <f>IF(C180=2006, AK180/3,AK180)+AJ180</f>
        <v>7</v>
      </c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</row>
    <row r="181" spans="1:57" s="3" customFormat="1" x14ac:dyDescent="0.25">
      <c r="A181" s="60" t="s">
        <v>500</v>
      </c>
      <c r="B181" s="65" t="s">
        <v>36</v>
      </c>
      <c r="C181" s="62">
        <v>2007</v>
      </c>
      <c r="D181" s="1">
        <f>R181+E181+F181</f>
        <v>5</v>
      </c>
      <c r="E181" s="237"/>
      <c r="F181" s="237"/>
      <c r="G181" s="154"/>
      <c r="H181" s="237"/>
      <c r="I181" s="205"/>
      <c r="J181" s="196"/>
      <c r="K181" s="186"/>
      <c r="L181" s="170"/>
      <c r="M181" s="50"/>
      <c r="N181" s="50"/>
      <c r="O181" s="219">
        <f>AA181</f>
        <v>5</v>
      </c>
      <c r="P181" s="120"/>
      <c r="Q181" s="96">
        <f>I181+J181+K181+L181+M181+N181+O181</f>
        <v>5</v>
      </c>
      <c r="R181" s="97">
        <f>IF(C181=2008, Q181/3,Q181)+P181</f>
        <v>5</v>
      </c>
      <c r="S181" s="22"/>
      <c r="T181" s="74"/>
      <c r="U181" s="74"/>
      <c r="V181" s="50"/>
      <c r="W181" s="50">
        <f>2</f>
        <v>2</v>
      </c>
      <c r="X181" s="50">
        <f>AL181</f>
        <v>13</v>
      </c>
      <c r="Y181" s="120"/>
      <c r="Z181" s="96">
        <f>SUM(T181:X181)</f>
        <v>15</v>
      </c>
      <c r="AA181" s="97">
        <f>IF(C181=2007, Z181/3,Z181)+Y181</f>
        <v>5</v>
      </c>
      <c r="AB181" s="22"/>
      <c r="AC181" s="13"/>
      <c r="AD181" s="13"/>
      <c r="AE181" s="13"/>
      <c r="AF181" s="13"/>
      <c r="AG181" s="13"/>
      <c r="AH181" s="13">
        <f>9+4</f>
        <v>13</v>
      </c>
      <c r="AI181" s="13"/>
      <c r="AJ181" s="95"/>
      <c r="AK181" s="96">
        <f>SUM(AC181:AI181)</f>
        <v>13</v>
      </c>
      <c r="AL181" s="97">
        <f>IF(C181=2010, AK181/3,AK181)+AJ181</f>
        <v>13</v>
      </c>
    </row>
    <row r="182" spans="1:57" s="3" customFormat="1" x14ac:dyDescent="0.25">
      <c r="A182" s="60" t="s">
        <v>187</v>
      </c>
      <c r="B182" s="65" t="s">
        <v>86</v>
      </c>
      <c r="C182" s="62">
        <v>2007</v>
      </c>
      <c r="D182" s="1">
        <f>R182+E182+F182</f>
        <v>28</v>
      </c>
      <c r="E182" s="233"/>
      <c r="F182" s="219"/>
      <c r="G182" s="154"/>
      <c r="H182" s="219"/>
      <c r="I182" s="205"/>
      <c r="J182" s="196"/>
      <c r="K182" s="186"/>
      <c r="L182" s="170"/>
      <c r="M182" s="50"/>
      <c r="N182" s="50"/>
      <c r="O182" s="219">
        <f>AA182</f>
        <v>28</v>
      </c>
      <c r="P182" s="120"/>
      <c r="Q182" s="96">
        <f>I182+J182+K182+L182+M182+N182+O182</f>
        <v>28</v>
      </c>
      <c r="R182" s="97">
        <f>IF(C182=2008, Q182/3,Q182)+P182</f>
        <v>28</v>
      </c>
      <c r="S182" s="22"/>
      <c r="T182" s="50"/>
      <c r="U182" s="50"/>
      <c r="V182" s="50"/>
      <c r="W182" s="50"/>
      <c r="X182" s="50">
        <f>AL182</f>
        <v>84</v>
      </c>
      <c r="Y182" s="120"/>
      <c r="Z182" s="96">
        <f>SUM(T182:X182)</f>
        <v>84</v>
      </c>
      <c r="AA182" s="97">
        <f>IF(C182=2007, Z182/3,Z182)+Y182</f>
        <v>28</v>
      </c>
      <c r="AB182" s="22"/>
      <c r="AC182" s="13"/>
      <c r="AD182" s="13">
        <f>57+24</f>
        <v>81</v>
      </c>
      <c r="AE182" s="13"/>
      <c r="AF182" s="13"/>
      <c r="AG182" s="13"/>
      <c r="AH182" s="13">
        <v>0</v>
      </c>
      <c r="AI182" s="13"/>
      <c r="AJ182" s="95">
        <f>3</f>
        <v>3</v>
      </c>
      <c r="AK182" s="96">
        <f>SUM(AC182:AI182)</f>
        <v>81</v>
      </c>
      <c r="AL182" s="97">
        <f>IF(C182=2010, AK182/3,AK182)+AJ182</f>
        <v>84</v>
      </c>
    </row>
    <row r="183" spans="1:57" s="3" customFormat="1" x14ac:dyDescent="0.25">
      <c r="A183" s="60" t="s">
        <v>215</v>
      </c>
      <c r="B183" s="65" t="s">
        <v>86</v>
      </c>
      <c r="C183" s="62">
        <v>2001</v>
      </c>
      <c r="D183" s="1">
        <f>R183+E183+F183</f>
        <v>36</v>
      </c>
      <c r="E183" s="108"/>
      <c r="F183" s="108"/>
      <c r="G183" s="122"/>
      <c r="H183" s="108"/>
      <c r="I183" s="205"/>
      <c r="J183" s="196"/>
      <c r="K183" s="186"/>
      <c r="L183" s="170"/>
      <c r="M183" s="50"/>
      <c r="N183" s="50"/>
      <c r="O183" s="219">
        <f>AA183</f>
        <v>36</v>
      </c>
      <c r="P183" s="120"/>
      <c r="Q183" s="96">
        <f>I183+J183+K183+L183+M183+N183+O183</f>
        <v>36</v>
      </c>
      <c r="R183" s="97">
        <f>IF(C183=2008, Q183/3,Q183)+P183</f>
        <v>36</v>
      </c>
      <c r="S183" s="22"/>
      <c r="T183" s="50"/>
      <c r="U183" s="50"/>
      <c r="V183" s="50"/>
      <c r="W183" s="50"/>
      <c r="X183" s="50">
        <f>AL183</f>
        <v>36</v>
      </c>
      <c r="Y183" s="120"/>
      <c r="Z183" s="96">
        <f>SUM(T183:X183)</f>
        <v>36</v>
      </c>
      <c r="AA183" s="97">
        <f>IF(C183=2007, Z183/3,Z183)+Y183</f>
        <v>36</v>
      </c>
      <c r="AB183" s="22"/>
      <c r="AC183" s="26"/>
      <c r="AD183" s="26">
        <v>24</v>
      </c>
      <c r="AE183" s="26"/>
      <c r="AF183" s="26">
        <f>9</f>
        <v>9</v>
      </c>
      <c r="AG183" s="26"/>
      <c r="AH183" s="26">
        <f>3</f>
        <v>3</v>
      </c>
      <c r="AI183" s="26"/>
      <c r="AJ183" s="95"/>
      <c r="AK183" s="96">
        <f>SUM(AC183:AI183)</f>
        <v>36</v>
      </c>
      <c r="AL183" s="97">
        <f>IF(C183=2006, AK183/3,AK183)+AJ183</f>
        <v>36</v>
      </c>
    </row>
    <row r="184" spans="1:57" s="3" customFormat="1" x14ac:dyDescent="0.25">
      <c r="A184" s="60" t="s">
        <v>218</v>
      </c>
      <c r="B184" s="65" t="s">
        <v>87</v>
      </c>
      <c r="C184" s="62">
        <v>2004</v>
      </c>
      <c r="D184" s="1">
        <f>R184+E184+F184</f>
        <v>15</v>
      </c>
      <c r="E184" s="237"/>
      <c r="F184" s="237"/>
      <c r="G184" s="154"/>
      <c r="H184" s="237"/>
      <c r="I184" s="205"/>
      <c r="J184" s="196"/>
      <c r="K184" s="186"/>
      <c r="L184" s="170"/>
      <c r="M184" s="50"/>
      <c r="N184" s="50"/>
      <c r="O184" s="219">
        <f>AA184</f>
        <v>15</v>
      </c>
      <c r="P184" s="120"/>
      <c r="Q184" s="96">
        <f>I184+J184+K184+L184+M184+N184+O184</f>
        <v>15</v>
      </c>
      <c r="R184" s="97">
        <f>IF(C184=2008, Q184/3,Q184)+P184</f>
        <v>15</v>
      </c>
      <c r="S184" s="22"/>
      <c r="T184" s="50"/>
      <c r="U184" s="50"/>
      <c r="V184" s="50"/>
      <c r="W184" s="50"/>
      <c r="X184" s="50">
        <f>AL184</f>
        <v>15</v>
      </c>
      <c r="Y184" s="120"/>
      <c r="Z184" s="96">
        <f>SUM(T184:X184)</f>
        <v>15</v>
      </c>
      <c r="AA184" s="97">
        <f>IF(C184=2007, Z184/3,Z184)+Y184</f>
        <v>15</v>
      </c>
      <c r="AB184" s="22"/>
      <c r="AC184" s="26"/>
      <c r="AD184" s="26">
        <f>3+12</f>
        <v>15</v>
      </c>
      <c r="AE184" s="26"/>
      <c r="AF184" s="26"/>
      <c r="AG184" s="26"/>
      <c r="AH184" s="26"/>
      <c r="AI184" s="26"/>
      <c r="AJ184" s="95"/>
      <c r="AK184" s="96">
        <f>SUM(AC184:AI184)</f>
        <v>15</v>
      </c>
      <c r="AL184" s="97">
        <f>IF(C184=2006, AK184/3,AK184)+AJ184</f>
        <v>15</v>
      </c>
    </row>
    <row r="185" spans="1:57" s="3" customFormat="1" x14ac:dyDescent="0.25">
      <c r="A185" s="11" t="s">
        <v>664</v>
      </c>
      <c r="B185" s="11" t="s">
        <v>64</v>
      </c>
      <c r="C185" s="3">
        <v>2007</v>
      </c>
      <c r="D185" s="1">
        <f>R185+E185+F185</f>
        <v>162</v>
      </c>
      <c r="E185" s="233"/>
      <c r="F185" s="219"/>
      <c r="G185" s="154"/>
      <c r="H185" s="219"/>
      <c r="I185" s="205"/>
      <c r="J185" s="196"/>
      <c r="K185" s="186"/>
      <c r="L185" s="170"/>
      <c r="M185" s="50">
        <f>6</f>
        <v>6</v>
      </c>
      <c r="N185" s="50">
        <f>15</f>
        <v>15</v>
      </c>
      <c r="O185" s="219">
        <f>AA185</f>
        <v>141</v>
      </c>
      <c r="P185" s="120"/>
      <c r="Q185" s="96">
        <f>I185+J185+K185+L185+M185+N185+O185</f>
        <v>162</v>
      </c>
      <c r="R185" s="97">
        <f>IF(C185=2008, Q185/3,Q185)+P185</f>
        <v>162</v>
      </c>
      <c r="S185" s="22"/>
      <c r="T185" s="50"/>
      <c r="U185" s="50"/>
      <c r="V185" s="50">
        <f>141</f>
        <v>141</v>
      </c>
      <c r="W185" s="50"/>
      <c r="X185" s="50"/>
      <c r="Y185" s="120"/>
      <c r="Z185" s="96">
        <f>SUM(T185:X185)</f>
        <v>141</v>
      </c>
      <c r="AA185" s="97">
        <f>IF(C185=2011, Z185/3,Z185)+Y185</f>
        <v>141</v>
      </c>
      <c r="AB185" s="22"/>
      <c r="AC185" s="219"/>
      <c r="AD185" s="219"/>
      <c r="AE185" s="219"/>
      <c r="AF185" s="219"/>
      <c r="AG185" s="219"/>
      <c r="AH185" s="219"/>
      <c r="AI185" s="36"/>
      <c r="AJ185" s="95"/>
      <c r="AK185" s="96"/>
      <c r="AL185" s="97"/>
    </row>
    <row r="186" spans="1:57" s="3" customFormat="1" x14ac:dyDescent="0.25">
      <c r="A186" s="60" t="s">
        <v>509</v>
      </c>
      <c r="B186" s="85" t="s">
        <v>63</v>
      </c>
      <c r="C186" s="62">
        <v>2006</v>
      </c>
      <c r="D186" s="1">
        <f>R186+E186+F186</f>
        <v>128.33333333333331</v>
      </c>
      <c r="E186" s="108"/>
      <c r="F186" s="108"/>
      <c r="G186" s="122"/>
      <c r="H186" s="108"/>
      <c r="I186" s="205"/>
      <c r="J186" s="196"/>
      <c r="K186" s="186"/>
      <c r="L186" s="170">
        <f>9</f>
        <v>9</v>
      </c>
      <c r="M186" s="50">
        <f>9</f>
        <v>9</v>
      </c>
      <c r="N186" s="50"/>
      <c r="O186" s="219">
        <f>AA186</f>
        <v>110.33333333333333</v>
      </c>
      <c r="P186" s="120"/>
      <c r="Q186" s="96">
        <f>I186+J186+K186+L186+M186+N186+O186</f>
        <v>128.33333333333331</v>
      </c>
      <c r="R186" s="97">
        <f>IF(C186=2008, Q186/3,Q186)+P186</f>
        <v>128.33333333333331</v>
      </c>
      <c r="S186" s="22"/>
      <c r="T186" s="50"/>
      <c r="U186" s="50"/>
      <c r="V186" s="50">
        <f>6</f>
        <v>6</v>
      </c>
      <c r="W186" s="50">
        <f>9+3+3</f>
        <v>15</v>
      </c>
      <c r="X186" s="50">
        <f>AL186</f>
        <v>89.333333333333329</v>
      </c>
      <c r="Y186" s="120"/>
      <c r="Z186" s="96">
        <f>SUM(T186:X186)</f>
        <v>110.33333333333333</v>
      </c>
      <c r="AA186" s="97">
        <f>IF(C186=2007, Z186/3,Z186)+Y186</f>
        <v>110.33333333333333</v>
      </c>
      <c r="AB186" s="22"/>
      <c r="AC186" s="13"/>
      <c r="AD186" s="13"/>
      <c r="AE186" s="13"/>
      <c r="AF186" s="13"/>
      <c r="AG186" s="13"/>
      <c r="AH186" s="13">
        <f>14</f>
        <v>14</v>
      </c>
      <c r="AI186" s="13">
        <f>227</f>
        <v>227</v>
      </c>
      <c r="AJ186" s="95">
        <f>3+6</f>
        <v>9</v>
      </c>
      <c r="AK186" s="96">
        <f>SUM(AC186:AI186)</f>
        <v>241</v>
      </c>
      <c r="AL186" s="97">
        <f>IF(C186=2006, AK186/3,AK186)+AJ186</f>
        <v>89.333333333333329</v>
      </c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spans="1:57" s="3" customFormat="1" x14ac:dyDescent="0.25">
      <c r="A187" s="11" t="s">
        <v>753</v>
      </c>
      <c r="B187" s="11" t="s">
        <v>63</v>
      </c>
      <c r="C187" s="3">
        <v>2008</v>
      </c>
      <c r="D187" s="1">
        <f>R187+E187+F187</f>
        <v>0.33333333333333331</v>
      </c>
      <c r="E187" s="233"/>
      <c r="F187" s="219"/>
      <c r="G187" s="120"/>
      <c r="H187" s="219"/>
      <c r="I187" s="205"/>
      <c r="J187" s="196"/>
      <c r="K187" s="186"/>
      <c r="L187" s="170"/>
      <c r="M187" s="50"/>
      <c r="N187" s="50">
        <f>0</f>
        <v>0</v>
      </c>
      <c r="O187" s="219">
        <f>AA187</f>
        <v>1</v>
      </c>
      <c r="P187" s="120"/>
      <c r="Q187" s="96">
        <f>I187+J187+K187+L187+M187+N187+O187</f>
        <v>1</v>
      </c>
      <c r="R187" s="97">
        <f>IF(C187=2008, Q187/3,Q187)+P187</f>
        <v>0.33333333333333331</v>
      </c>
      <c r="S187" s="22"/>
      <c r="T187" s="50">
        <f>0+1</f>
        <v>1</v>
      </c>
      <c r="U187" s="50"/>
      <c r="V187" s="50"/>
      <c r="W187" s="50"/>
      <c r="X187" s="50"/>
      <c r="Y187" s="120"/>
      <c r="Z187" s="96">
        <f>SUM(T187:X187)</f>
        <v>1</v>
      </c>
      <c r="AA187" s="97">
        <f>IF(C187=2011, Z187/3,Z187)+Y187</f>
        <v>1</v>
      </c>
      <c r="AB187" s="22"/>
      <c r="AC187" s="237"/>
      <c r="AD187" s="237"/>
      <c r="AE187" s="237"/>
      <c r="AF187" s="237"/>
      <c r="AG187" s="237"/>
      <c r="AH187" s="237"/>
      <c r="AI187" s="240"/>
      <c r="AJ187" s="95"/>
      <c r="AK187" s="96"/>
      <c r="AL187" s="97"/>
    </row>
    <row r="188" spans="1:57" s="3" customFormat="1" x14ac:dyDescent="0.25">
      <c r="A188" s="60" t="s">
        <v>198</v>
      </c>
      <c r="B188" s="65" t="s">
        <v>87</v>
      </c>
      <c r="C188" s="62">
        <v>2006</v>
      </c>
      <c r="D188" s="1">
        <f>R188+E188+F188</f>
        <v>1</v>
      </c>
      <c r="E188" s="233"/>
      <c r="F188" s="219"/>
      <c r="G188" s="154"/>
      <c r="H188" s="219"/>
      <c r="I188" s="205"/>
      <c r="J188" s="196"/>
      <c r="K188" s="186"/>
      <c r="L188" s="170"/>
      <c r="M188" s="50"/>
      <c r="N188" s="50"/>
      <c r="O188" s="219">
        <f>AA188</f>
        <v>1</v>
      </c>
      <c r="P188" s="120"/>
      <c r="Q188" s="96">
        <f>I188+J188+K188+L188+M188+N188+O188</f>
        <v>1</v>
      </c>
      <c r="R188" s="97">
        <f>IF(C188=2008, Q188/3,Q188)+P188</f>
        <v>1</v>
      </c>
      <c r="S188" s="22"/>
      <c r="T188" s="50"/>
      <c r="U188" s="50"/>
      <c r="V188" s="50"/>
      <c r="W188" s="50"/>
      <c r="X188" s="50">
        <f>AL188</f>
        <v>1</v>
      </c>
      <c r="Y188" s="120"/>
      <c r="Z188" s="96">
        <f>SUM(T188:X188)</f>
        <v>1</v>
      </c>
      <c r="AA188" s="97">
        <f>IF(C188=2007, Z188/3,Z188)+Y188</f>
        <v>1</v>
      </c>
      <c r="AB188" s="22"/>
      <c r="AC188" s="13"/>
      <c r="AD188" s="13">
        <f>3</f>
        <v>3</v>
      </c>
      <c r="AE188" s="13"/>
      <c r="AF188" s="13"/>
      <c r="AG188" s="13"/>
      <c r="AH188" s="13"/>
      <c r="AI188" s="13"/>
      <c r="AJ188" s="95"/>
      <c r="AK188" s="96">
        <f>SUM(AC188:AI188)</f>
        <v>3</v>
      </c>
      <c r="AL188" s="97">
        <f>IF(C188=2006, AK188/3,AK188)+AJ188</f>
        <v>1</v>
      </c>
    </row>
    <row r="189" spans="1:57" s="17" customFormat="1" x14ac:dyDescent="0.25">
      <c r="A189" s="60" t="s">
        <v>162</v>
      </c>
      <c r="B189" s="65" t="s">
        <v>63</v>
      </c>
      <c r="C189" s="62">
        <v>2008</v>
      </c>
      <c r="D189" s="1">
        <f>R189+E189+F189</f>
        <v>75</v>
      </c>
      <c r="E189" s="233"/>
      <c r="F189" s="219"/>
      <c r="G189" s="154"/>
      <c r="H189" s="219"/>
      <c r="I189" s="205"/>
      <c r="J189" s="196"/>
      <c r="K189" s="186"/>
      <c r="L189" s="174">
        <f>34</f>
        <v>34</v>
      </c>
      <c r="M189" s="174">
        <f>18+9</f>
        <v>27</v>
      </c>
      <c r="N189" s="174"/>
      <c r="O189" s="219">
        <f>AA189</f>
        <v>137</v>
      </c>
      <c r="P189" s="120">
        <f>9</f>
        <v>9</v>
      </c>
      <c r="Q189" s="96">
        <f>I189+J189+K189+L189+M189+N189+O189</f>
        <v>198</v>
      </c>
      <c r="R189" s="97">
        <f>IF(C189=2008, Q189/3,Q189)+P189</f>
        <v>75</v>
      </c>
      <c r="S189" s="22"/>
      <c r="T189" s="174"/>
      <c r="U189" s="174"/>
      <c r="V189" s="174">
        <f>45+14</f>
        <v>59</v>
      </c>
      <c r="W189" s="174">
        <f>28</f>
        <v>28</v>
      </c>
      <c r="X189" s="174">
        <f>AL189</f>
        <v>47</v>
      </c>
      <c r="Y189" s="120">
        <f>3</f>
        <v>3</v>
      </c>
      <c r="Z189" s="96">
        <f>SUM(T189:X189)</f>
        <v>134</v>
      </c>
      <c r="AA189" s="97">
        <f>IF(C189=2011, Z189/3,Z189)+Y189</f>
        <v>137</v>
      </c>
      <c r="AB189" s="22"/>
      <c r="AC189" s="13"/>
      <c r="AD189" s="13">
        <v>12</v>
      </c>
      <c r="AE189" s="13"/>
      <c r="AF189" s="13">
        <f>14</f>
        <v>14</v>
      </c>
      <c r="AG189" s="13"/>
      <c r="AH189" s="13">
        <f>9+6</f>
        <v>15</v>
      </c>
      <c r="AI189" s="13"/>
      <c r="AJ189" s="95">
        <f>6</f>
        <v>6</v>
      </c>
      <c r="AK189" s="96">
        <f>SUM(AC189:AI189)</f>
        <v>41</v>
      </c>
      <c r="AL189" s="97">
        <f>IF(C189=2010, AK189/3,AK189)+AJ189</f>
        <v>47</v>
      </c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</row>
    <row r="190" spans="1:57" s="17" customFormat="1" x14ac:dyDescent="0.25">
      <c r="A190" s="60" t="s">
        <v>185</v>
      </c>
      <c r="B190" s="85" t="s">
        <v>64</v>
      </c>
      <c r="C190" s="62">
        <v>2007</v>
      </c>
      <c r="D190" s="1">
        <f>R190+E190+F190</f>
        <v>32</v>
      </c>
      <c r="E190" s="237"/>
      <c r="F190" s="237"/>
      <c r="G190" s="120"/>
      <c r="H190" s="237"/>
      <c r="I190" s="205"/>
      <c r="J190" s="196"/>
      <c r="K190" s="186"/>
      <c r="L190" s="170"/>
      <c r="M190" s="50"/>
      <c r="N190" s="50"/>
      <c r="O190" s="219">
        <f>AA190</f>
        <v>32</v>
      </c>
      <c r="P190" s="120"/>
      <c r="Q190" s="96">
        <f>I190+J190+K190+L190+M190+N190+O190</f>
        <v>32</v>
      </c>
      <c r="R190" s="97">
        <f>IF(C190=2008, Q190/3,Q190)+P190</f>
        <v>32</v>
      </c>
      <c r="S190" s="22"/>
      <c r="T190" s="50"/>
      <c r="U190" s="50"/>
      <c r="V190" s="50">
        <f>30</f>
        <v>30</v>
      </c>
      <c r="W190" s="50"/>
      <c r="X190" s="50">
        <f>AL190</f>
        <v>66</v>
      </c>
      <c r="Y190" s="120"/>
      <c r="Z190" s="96">
        <f>SUM(T190:X190)</f>
        <v>96</v>
      </c>
      <c r="AA190" s="97">
        <f>IF(C190=2007, Z190/3,Z190)+Y190</f>
        <v>32</v>
      </c>
      <c r="AB190" s="22"/>
      <c r="AC190" s="13"/>
      <c r="AD190" s="13">
        <v>54</v>
      </c>
      <c r="AE190" s="13"/>
      <c r="AF190" s="13"/>
      <c r="AG190" s="13"/>
      <c r="AH190" s="13"/>
      <c r="AI190" s="13">
        <f>12</f>
        <v>12</v>
      </c>
      <c r="AJ190" s="95"/>
      <c r="AK190" s="96">
        <f>SUM(AC190:AI190)</f>
        <v>66</v>
      </c>
      <c r="AL190" s="97">
        <f>IF(C190=2010, AK190/3,AK190)+AJ190</f>
        <v>66</v>
      </c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</row>
    <row r="191" spans="1:57" s="3" customFormat="1" ht="14.25" customHeight="1" x14ac:dyDescent="0.25">
      <c r="A191" s="60" t="s">
        <v>349</v>
      </c>
      <c r="B191" s="65" t="s">
        <v>86</v>
      </c>
      <c r="C191" s="62">
        <v>2008</v>
      </c>
      <c r="D191" s="1">
        <f>R191+E191+F191</f>
        <v>2</v>
      </c>
      <c r="E191" s="233"/>
      <c r="F191" s="219"/>
      <c r="G191" s="120"/>
      <c r="H191" s="219"/>
      <c r="I191" s="205"/>
      <c r="J191" s="196"/>
      <c r="K191" s="186"/>
      <c r="L191" s="170"/>
      <c r="M191" s="50"/>
      <c r="N191" s="50"/>
      <c r="O191" s="219">
        <f>AA191</f>
        <v>6</v>
      </c>
      <c r="P191" s="120"/>
      <c r="Q191" s="96">
        <f>I191+J191+K191+L191+M191+N191+O191</f>
        <v>6</v>
      </c>
      <c r="R191" s="97">
        <f>IF(C191=2008, Q191/3,Q191)+P191</f>
        <v>2</v>
      </c>
      <c r="S191" s="22"/>
      <c r="T191" s="50"/>
      <c r="U191" s="50"/>
      <c r="V191" s="50"/>
      <c r="W191" s="50"/>
      <c r="X191" s="50">
        <f>AL191</f>
        <v>6</v>
      </c>
      <c r="Y191" s="120"/>
      <c r="Z191" s="96">
        <f>SUM(T191:X191)</f>
        <v>6</v>
      </c>
      <c r="AA191" s="97">
        <f>IF(C191=2011, Z191/3,Z191)+Y191</f>
        <v>6</v>
      </c>
      <c r="AB191" s="22"/>
      <c r="AC191" s="13"/>
      <c r="AD191" s="13"/>
      <c r="AE191" s="13"/>
      <c r="AF191" s="13">
        <f>6</f>
        <v>6</v>
      </c>
      <c r="AG191" s="13"/>
      <c r="AH191" s="13"/>
      <c r="AI191" s="13"/>
      <c r="AJ191" s="95"/>
      <c r="AK191" s="96">
        <f>SUM(AC191:AI191)</f>
        <v>6</v>
      </c>
      <c r="AL191" s="97">
        <f>IF(C191=2010, AK191/3,AK191)+AJ191</f>
        <v>6</v>
      </c>
    </row>
    <row r="192" spans="1:57" s="3" customFormat="1" x14ac:dyDescent="0.25">
      <c r="A192" s="60" t="s">
        <v>388</v>
      </c>
      <c r="B192" s="65" t="s">
        <v>111</v>
      </c>
      <c r="C192" s="62">
        <v>2005</v>
      </c>
      <c r="D192" s="1">
        <f>R192+E192+F192</f>
        <v>1</v>
      </c>
      <c r="E192" s="156"/>
      <c r="F192" s="156"/>
      <c r="G192" s="122"/>
      <c r="H192" s="156"/>
      <c r="I192" s="205"/>
      <c r="J192" s="196"/>
      <c r="K192" s="186"/>
      <c r="L192" s="170"/>
      <c r="M192" s="50"/>
      <c r="N192" s="50"/>
      <c r="O192" s="219">
        <f>AA192</f>
        <v>1</v>
      </c>
      <c r="P192" s="120"/>
      <c r="Q192" s="96">
        <f>I192+J192+K192+L192+M192+N192+O192</f>
        <v>1</v>
      </c>
      <c r="R192" s="97">
        <f>IF(C192=2008, Q192/3,Q192)+P192</f>
        <v>1</v>
      </c>
      <c r="S192" s="22"/>
      <c r="T192" s="50"/>
      <c r="U192" s="50"/>
      <c r="V192" s="50"/>
      <c r="W192" s="50"/>
      <c r="X192" s="50">
        <f>AL192</f>
        <v>1</v>
      </c>
      <c r="Y192" s="120"/>
      <c r="Z192" s="96">
        <f>SUM(T192:X192)</f>
        <v>1</v>
      </c>
      <c r="AA192" s="97">
        <f>IF(C192=2007, Z192/3,Z192)+Y192</f>
        <v>1</v>
      </c>
      <c r="AB192" s="22"/>
      <c r="AC192" s="26"/>
      <c r="AD192" s="26"/>
      <c r="AE192" s="26"/>
      <c r="AF192" s="26">
        <f>1</f>
        <v>1</v>
      </c>
      <c r="AG192" s="26"/>
      <c r="AH192" s="26"/>
      <c r="AI192" s="26"/>
      <c r="AJ192" s="95"/>
      <c r="AK192" s="96">
        <f>SUM(AC192:AI192)</f>
        <v>1</v>
      </c>
      <c r="AL192" s="97">
        <f>IF(C192=2006, AK192/3,AK192)+AJ192</f>
        <v>1</v>
      </c>
    </row>
    <row r="193" spans="1:57" s="3" customFormat="1" x14ac:dyDescent="0.25">
      <c r="A193" s="60" t="s">
        <v>382</v>
      </c>
      <c r="B193" s="65" t="s">
        <v>380</v>
      </c>
      <c r="C193" s="62">
        <v>2008</v>
      </c>
      <c r="D193" s="1">
        <f>R193+E193+F193</f>
        <v>5</v>
      </c>
      <c r="E193" s="233"/>
      <c r="F193" s="219"/>
      <c r="G193" s="154"/>
      <c r="H193" s="219"/>
      <c r="I193" s="205"/>
      <c r="J193" s="196"/>
      <c r="K193" s="186"/>
      <c r="L193" s="170"/>
      <c r="M193" s="50"/>
      <c r="N193" s="50"/>
      <c r="O193" s="219">
        <f>AA193</f>
        <v>15</v>
      </c>
      <c r="P193" s="120"/>
      <c r="Q193" s="96">
        <f>I193+J193+K193+L193+M193+N193+O193</f>
        <v>15</v>
      </c>
      <c r="R193" s="97">
        <f>IF(C193=2008, Q193/3,Q193)+P193</f>
        <v>5</v>
      </c>
      <c r="S193" s="22"/>
      <c r="T193" s="50"/>
      <c r="U193" s="50"/>
      <c r="V193" s="50"/>
      <c r="W193" s="50"/>
      <c r="X193" s="50">
        <f>AL193</f>
        <v>15</v>
      </c>
      <c r="Y193" s="120"/>
      <c r="Z193" s="96">
        <f>SUM(T193:X193)</f>
        <v>15</v>
      </c>
      <c r="AA193" s="97">
        <f>IF(C193=2011, Z193/3,Z193)+Y193</f>
        <v>15</v>
      </c>
      <c r="AB193" s="22"/>
      <c r="AC193" s="13"/>
      <c r="AD193" s="13"/>
      <c r="AE193" s="13"/>
      <c r="AF193" s="13">
        <f>15</f>
        <v>15</v>
      </c>
      <c r="AG193" s="13"/>
      <c r="AH193" s="13"/>
      <c r="AI193" s="13"/>
      <c r="AJ193" s="95"/>
      <c r="AK193" s="96">
        <f>SUM(AC193:AI193)</f>
        <v>15</v>
      </c>
      <c r="AL193" s="97">
        <f>IF(C193=2010, AK193/3,AK193)+AJ193</f>
        <v>15</v>
      </c>
    </row>
    <row r="194" spans="1:57" s="3" customFormat="1" x14ac:dyDescent="0.25">
      <c r="A194" s="12" t="s">
        <v>391</v>
      </c>
      <c r="B194" s="12" t="s">
        <v>380</v>
      </c>
      <c r="C194" s="4">
        <v>2005</v>
      </c>
      <c r="D194" s="1">
        <f>R194+E194+F194</f>
        <v>0</v>
      </c>
      <c r="E194" s="233"/>
      <c r="F194" s="219"/>
      <c r="G194" s="154"/>
      <c r="H194" s="219"/>
      <c r="I194" s="205"/>
      <c r="J194" s="196"/>
      <c r="K194" s="186"/>
      <c r="L194" s="170"/>
      <c r="M194" s="50"/>
      <c r="N194" s="50"/>
      <c r="O194" s="219">
        <f>AA194</f>
        <v>0</v>
      </c>
      <c r="P194" s="120"/>
      <c r="Q194" s="96">
        <f>I194+J194+K194+L194+M194+N194+O194</f>
        <v>0</v>
      </c>
      <c r="R194" s="97">
        <f>IF(C194=2008, Q194/3,Q194)+P194</f>
        <v>0</v>
      </c>
      <c r="S194" s="22"/>
      <c r="T194" s="50"/>
      <c r="U194" s="50"/>
      <c r="V194" s="50"/>
      <c r="W194" s="50"/>
      <c r="X194" s="50">
        <f>AL194</f>
        <v>0</v>
      </c>
      <c r="Y194" s="120"/>
      <c r="Z194" s="96">
        <f>SUM(T194:X194)</f>
        <v>0</v>
      </c>
      <c r="AA194" s="97">
        <f>IF(C194=2007, Z194/3,Z194)+Y194</f>
        <v>0</v>
      </c>
      <c r="AB194" s="22"/>
      <c r="AC194" s="26"/>
      <c r="AD194" s="26"/>
      <c r="AE194" s="26"/>
      <c r="AF194" s="26">
        <f>0</f>
        <v>0</v>
      </c>
      <c r="AG194" s="26"/>
      <c r="AH194" s="26"/>
      <c r="AI194" s="26"/>
      <c r="AJ194" s="95"/>
      <c r="AK194" s="96">
        <f>SUM(AC194:AI194)</f>
        <v>0</v>
      </c>
      <c r="AL194" s="97">
        <f>IF(C194=2006, AK194/3,AK194)+AJ194</f>
        <v>0</v>
      </c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spans="1:57" s="3" customFormat="1" x14ac:dyDescent="0.25">
      <c r="A195" s="51" t="s">
        <v>20</v>
      </c>
      <c r="B195" s="84" t="s">
        <v>7</v>
      </c>
      <c r="C195" s="52">
        <v>2006</v>
      </c>
      <c r="D195" s="1">
        <f>R195+E195+F195</f>
        <v>87.666666666666671</v>
      </c>
      <c r="E195" s="233"/>
      <c r="F195" s="219"/>
      <c r="G195" s="154"/>
      <c r="H195" s="219"/>
      <c r="I195" s="205"/>
      <c r="J195" s="196"/>
      <c r="K195" s="186"/>
      <c r="L195" s="170"/>
      <c r="M195" s="50"/>
      <c r="N195" s="50"/>
      <c r="O195" s="219">
        <f>AA195</f>
        <v>87.666666666666671</v>
      </c>
      <c r="P195" s="120"/>
      <c r="Q195" s="96">
        <f>I195+J195+K195+L195+M195+N195+O195</f>
        <v>87.666666666666671</v>
      </c>
      <c r="R195" s="97">
        <f>IF(C195=2008, Q195/3,Q195)+P195</f>
        <v>87.666666666666671</v>
      </c>
      <c r="S195" s="22"/>
      <c r="T195" s="50"/>
      <c r="U195" s="50"/>
      <c r="V195" s="50"/>
      <c r="W195" s="50"/>
      <c r="X195" s="50">
        <f>AL195</f>
        <v>87.666666666666671</v>
      </c>
      <c r="Y195" s="120"/>
      <c r="Z195" s="96">
        <f>SUM(T195:X195)</f>
        <v>87.666666666666671</v>
      </c>
      <c r="AA195" s="97">
        <f>IF(C195=2007, Z195/3,Z195)+Y195</f>
        <v>87.666666666666671</v>
      </c>
      <c r="AB195" s="22"/>
      <c r="AC195" s="237">
        <f>3</f>
        <v>3</v>
      </c>
      <c r="AD195" s="237"/>
      <c r="AE195" s="237"/>
      <c r="AF195" s="237">
        <f>0</f>
        <v>0</v>
      </c>
      <c r="AG195" s="237"/>
      <c r="AH195" s="237"/>
      <c r="AI195" s="237">
        <v>260</v>
      </c>
      <c r="AJ195" s="95"/>
      <c r="AK195" s="96">
        <f>SUM(AC195:AI195)</f>
        <v>263</v>
      </c>
      <c r="AL195" s="97">
        <f>IF(C195=2006, AK195/3,AK195)+AJ195</f>
        <v>87.666666666666671</v>
      </c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</row>
    <row r="196" spans="1:57" s="27" customFormat="1" x14ac:dyDescent="0.25">
      <c r="A196" s="60" t="s">
        <v>801</v>
      </c>
      <c r="B196" s="127" t="s">
        <v>802</v>
      </c>
      <c r="C196" s="128">
        <v>2006</v>
      </c>
      <c r="D196" s="1">
        <f>R196+E196+F196</f>
        <v>6</v>
      </c>
      <c r="E196" s="233"/>
      <c r="F196" s="219"/>
      <c r="G196" s="154"/>
      <c r="H196" s="219"/>
      <c r="I196" s="205"/>
      <c r="J196" s="196"/>
      <c r="K196" s="186"/>
      <c r="L196" s="170"/>
      <c r="M196" s="50"/>
      <c r="N196" s="50">
        <f>0+6</f>
        <v>6</v>
      </c>
      <c r="O196" s="219">
        <f>AA196</f>
        <v>0</v>
      </c>
      <c r="P196" s="120"/>
      <c r="Q196" s="96">
        <f>I196+J196+K196+L196+M196+N196+O196</f>
        <v>6</v>
      </c>
      <c r="R196" s="97">
        <f>IF(C196=2008, Q196/3,Q196)+P196</f>
        <v>6</v>
      </c>
      <c r="S196" s="22"/>
      <c r="T196" s="50"/>
      <c r="U196" s="50"/>
      <c r="V196" s="50"/>
      <c r="W196" s="50"/>
      <c r="X196" s="50"/>
      <c r="Y196" s="120"/>
      <c r="Z196" s="96"/>
      <c r="AA196" s="97"/>
      <c r="AB196" s="22"/>
      <c r="AC196" s="26"/>
      <c r="AD196" s="26"/>
      <c r="AE196" s="26"/>
      <c r="AF196" s="26"/>
      <c r="AG196" s="26"/>
      <c r="AH196" s="26"/>
      <c r="AI196" s="26"/>
      <c r="AJ196" s="95"/>
      <c r="AK196" s="96"/>
      <c r="AL196" s="97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</row>
    <row r="197" spans="1:57" s="17" customFormat="1" x14ac:dyDescent="0.25">
      <c r="A197" s="60" t="s">
        <v>199</v>
      </c>
      <c r="B197" s="65" t="s">
        <v>87</v>
      </c>
      <c r="C197" s="62">
        <v>2007</v>
      </c>
      <c r="D197" s="1">
        <f>R197+E197+F197</f>
        <v>4</v>
      </c>
      <c r="E197" s="233"/>
      <c r="F197" s="219"/>
      <c r="G197" s="120"/>
      <c r="H197" s="219"/>
      <c r="I197" s="205"/>
      <c r="J197" s="196"/>
      <c r="K197" s="186"/>
      <c r="L197" s="170"/>
      <c r="M197" s="50"/>
      <c r="N197" s="50"/>
      <c r="O197" s="219">
        <f>AA197</f>
        <v>4</v>
      </c>
      <c r="P197" s="120"/>
      <c r="Q197" s="96">
        <f>I197+J197+K197+L197+M197+N197+O197</f>
        <v>4</v>
      </c>
      <c r="R197" s="97">
        <f>IF(C197=2008, Q197/3,Q197)+P197</f>
        <v>4</v>
      </c>
      <c r="S197" s="22"/>
      <c r="T197" s="50"/>
      <c r="U197" s="50"/>
      <c r="V197" s="50"/>
      <c r="W197" s="50"/>
      <c r="X197" s="50">
        <f>AL197</f>
        <v>12</v>
      </c>
      <c r="Y197" s="120"/>
      <c r="Z197" s="96">
        <f>SUM(T197:X197)</f>
        <v>12</v>
      </c>
      <c r="AA197" s="97">
        <f>IF(C197=2007, Z197/3,Z197)+Y197</f>
        <v>4</v>
      </c>
      <c r="AB197" s="22"/>
      <c r="AC197" s="13"/>
      <c r="AD197" s="13">
        <f>12</f>
        <v>12</v>
      </c>
      <c r="AE197" s="13"/>
      <c r="AF197" s="13"/>
      <c r="AG197" s="13"/>
      <c r="AH197" s="13"/>
      <c r="AI197" s="13"/>
      <c r="AJ197" s="95"/>
      <c r="AK197" s="96">
        <f>SUM(AC197:AI197)</f>
        <v>12</v>
      </c>
      <c r="AL197" s="97">
        <f>IF(C197=2010, AK197/3,AK197)+AJ197</f>
        <v>12</v>
      </c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</row>
    <row r="198" spans="1:57" s="3" customFormat="1" x14ac:dyDescent="0.25">
      <c r="A198" s="60" t="s">
        <v>661</v>
      </c>
      <c r="B198" s="85" t="s">
        <v>23</v>
      </c>
      <c r="C198" s="62">
        <v>2008</v>
      </c>
      <c r="D198" s="1">
        <f>R198+E198+F198</f>
        <v>133.66666666666666</v>
      </c>
      <c r="E198" s="237"/>
      <c r="F198" s="237"/>
      <c r="G198" s="154"/>
      <c r="H198" s="237"/>
      <c r="I198" s="205"/>
      <c r="J198" s="196"/>
      <c r="K198" s="186"/>
      <c r="L198" s="170"/>
      <c r="M198" s="50"/>
      <c r="N198" s="50"/>
      <c r="O198" s="219">
        <f>AA198</f>
        <v>401</v>
      </c>
      <c r="P198" s="120"/>
      <c r="Q198" s="96">
        <f>I198+J198+K198+L198+M198+N198+O198</f>
        <v>401</v>
      </c>
      <c r="R198" s="97">
        <f>IF(C198=2008, Q198/3,Q198)+P198</f>
        <v>133.66666666666666</v>
      </c>
      <c r="S198" s="22"/>
      <c r="T198" s="50"/>
      <c r="U198" s="50"/>
      <c r="V198" s="50">
        <f>195+45</f>
        <v>240</v>
      </c>
      <c r="W198" s="50"/>
      <c r="X198" s="50">
        <v>161</v>
      </c>
      <c r="Y198" s="120"/>
      <c r="Z198" s="96">
        <f>SUM(T198:X198)</f>
        <v>401</v>
      </c>
      <c r="AA198" s="97">
        <f>IF(C198=2011, Z198/3,Z198)+Y198</f>
        <v>401</v>
      </c>
      <c r="AB198" s="22"/>
      <c r="AC198" s="13"/>
      <c r="AD198" s="13"/>
      <c r="AE198" s="13"/>
      <c r="AF198" s="13"/>
      <c r="AG198" s="13"/>
      <c r="AH198" s="13"/>
      <c r="AI198" s="13"/>
      <c r="AJ198" s="95"/>
      <c r="AK198" s="96"/>
      <c r="AL198" s="97"/>
    </row>
    <row r="199" spans="1:57" s="17" customFormat="1" x14ac:dyDescent="0.25">
      <c r="A199" s="12" t="s">
        <v>375</v>
      </c>
      <c r="B199" s="12" t="s">
        <v>86</v>
      </c>
      <c r="C199" s="4">
        <v>2005</v>
      </c>
      <c r="D199" s="1">
        <f>R199+E199+F199</f>
        <v>0</v>
      </c>
      <c r="E199" s="233"/>
      <c r="F199" s="219"/>
      <c r="G199" s="120"/>
      <c r="H199" s="219"/>
      <c r="I199" s="237"/>
      <c r="J199" s="237"/>
      <c r="K199" s="237"/>
      <c r="L199" s="237"/>
      <c r="M199" s="237"/>
      <c r="N199" s="237"/>
      <c r="O199" s="219">
        <f>AA199</f>
        <v>0</v>
      </c>
      <c r="P199" s="120"/>
      <c r="Q199" s="96">
        <f>I199+J199+K199+L199+M199+N199+O199</f>
        <v>0</v>
      </c>
      <c r="R199" s="97">
        <f>IF(C199=2008, Q199/3,Q199)+P199</f>
        <v>0</v>
      </c>
      <c r="S199" s="22"/>
      <c r="T199" s="237"/>
      <c r="U199" s="237"/>
      <c r="V199" s="237"/>
      <c r="W199" s="237"/>
      <c r="X199" s="237">
        <f>AL199</f>
        <v>0</v>
      </c>
      <c r="Y199" s="120"/>
      <c r="Z199" s="96">
        <f>SUM(T199:X199)</f>
        <v>0</v>
      </c>
      <c r="AA199" s="97">
        <f>IF(C199=2007, Z199/3,Z199)+Y199</f>
        <v>0</v>
      </c>
      <c r="AB199" s="22"/>
      <c r="AC199" s="26"/>
      <c r="AD199" s="26"/>
      <c r="AE199" s="26"/>
      <c r="AF199" s="26">
        <f>0</f>
        <v>0</v>
      </c>
      <c r="AG199" s="26"/>
      <c r="AH199" s="26"/>
      <c r="AI199" s="26"/>
      <c r="AJ199" s="95"/>
      <c r="AK199" s="96">
        <f>SUM(AC199:AI199)</f>
        <v>0</v>
      </c>
      <c r="AL199" s="97">
        <f>IF(C199=2006, AK199/3,AK199)+AJ199</f>
        <v>0</v>
      </c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</row>
    <row r="200" spans="1:57" x14ac:dyDescent="0.25">
      <c r="A200" s="60" t="s">
        <v>287</v>
      </c>
      <c r="B200" s="65" t="s">
        <v>232</v>
      </c>
      <c r="C200" s="62">
        <v>2006</v>
      </c>
      <c r="D200" s="1">
        <f>R200+E200+F200</f>
        <v>11.333333333333334</v>
      </c>
      <c r="E200" s="156"/>
      <c r="F200" s="156"/>
      <c r="G200" s="154"/>
      <c r="H200" s="156"/>
      <c r="I200" s="233"/>
      <c r="J200" s="233"/>
      <c r="K200" s="233"/>
      <c r="L200" s="233"/>
      <c r="M200" s="233"/>
      <c r="N200" s="233"/>
      <c r="O200" s="233">
        <f>AA200</f>
        <v>11.333333333333334</v>
      </c>
      <c r="P200" s="120"/>
      <c r="Q200" s="96">
        <f>I200+J200+K200+L200+M200+N200+O200</f>
        <v>11.333333333333334</v>
      </c>
      <c r="R200" s="97">
        <f>IF(C200=2008, Q200/3,Q200)+P200</f>
        <v>11.333333333333334</v>
      </c>
      <c r="S200" s="22"/>
      <c r="T200" s="233"/>
      <c r="U200" s="233">
        <f>3</f>
        <v>3</v>
      </c>
      <c r="V200" s="233"/>
      <c r="W200" s="233"/>
      <c r="X200" s="233">
        <f>AL200</f>
        <v>8.3333333333333339</v>
      </c>
      <c r="Y200" s="120"/>
      <c r="Z200" s="96">
        <f>SUM(T200:X200)</f>
        <v>11.333333333333334</v>
      </c>
      <c r="AA200" s="97">
        <f>IF(C200=2007, Z200/3,Z200)+Y200</f>
        <v>11.333333333333334</v>
      </c>
      <c r="AB200" s="22"/>
      <c r="AC200" s="13"/>
      <c r="AD200" s="13"/>
      <c r="AE200" s="13">
        <f>3</f>
        <v>3</v>
      </c>
      <c r="AF200" s="13">
        <f>22</f>
        <v>22</v>
      </c>
      <c r="AG200" s="13"/>
      <c r="AH200" s="13"/>
      <c r="AI200" s="13"/>
      <c r="AJ200" s="95"/>
      <c r="AK200" s="96">
        <f>SUM(AC200:AI200)</f>
        <v>25</v>
      </c>
      <c r="AL200" s="97">
        <f>IF(C200=2006, AK200/3,AK200)+AJ200</f>
        <v>8.3333333333333339</v>
      </c>
    </row>
    <row r="201" spans="1:57" x14ac:dyDescent="0.25">
      <c r="A201" s="12" t="s">
        <v>800</v>
      </c>
      <c r="B201" s="12" t="s">
        <v>633</v>
      </c>
      <c r="C201" s="4">
        <v>2007</v>
      </c>
      <c r="D201" s="1">
        <f>R201+E201+F201</f>
        <v>8</v>
      </c>
      <c r="G201" s="154"/>
      <c r="M201" s="161">
        <f>0+2</f>
        <v>2</v>
      </c>
      <c r="N201" s="161">
        <f>6</f>
        <v>6</v>
      </c>
      <c r="O201" s="233">
        <f>AA201</f>
        <v>0</v>
      </c>
      <c r="Q201" s="96">
        <f>I201+J201+K201+L201+M201+N201+O201</f>
        <v>8</v>
      </c>
      <c r="R201" s="97">
        <f>IF(C201=2008, Q201/3,Q201)+P201</f>
        <v>8</v>
      </c>
    </row>
    <row r="202" spans="1:57" s="27" customFormat="1" x14ac:dyDescent="0.25">
      <c r="A202" s="274" t="s">
        <v>15</v>
      </c>
      <c r="B202" s="275"/>
      <c r="C202" s="276"/>
      <c r="D202" s="22"/>
      <c r="E202" s="233"/>
      <c r="F202" s="219"/>
      <c r="G202" s="120"/>
      <c r="H202" s="219"/>
      <c r="I202" s="205"/>
      <c r="J202" s="196"/>
      <c r="K202" s="186"/>
      <c r="L202" s="170"/>
      <c r="M202" s="50"/>
      <c r="N202" s="50"/>
      <c r="O202" s="219">
        <f t="shared" ref="O202" si="9">AA202</f>
        <v>0</v>
      </c>
      <c r="P202" s="50"/>
      <c r="Q202" s="96">
        <f t="shared" ref="Q199:Q263" si="10">I202+J202+K202+L202+M202+N202+O202</f>
        <v>0</v>
      </c>
      <c r="R202" s="97">
        <f>IF(C202=2008, Q202/3,Q202)+P202</f>
        <v>0</v>
      </c>
      <c r="S202" s="22"/>
      <c r="T202" s="50"/>
      <c r="U202" s="50"/>
      <c r="V202" s="50"/>
      <c r="W202" s="50"/>
      <c r="X202" s="50"/>
      <c r="Y202" s="50"/>
      <c r="Z202" s="68"/>
      <c r="AA202" s="97">
        <f t="shared" ref="AA202" si="11">IF(C202=2007, Z202/3,Z202)+Y202</f>
        <v>0</v>
      </c>
      <c r="AB202" s="22"/>
      <c r="AC202" s="113"/>
      <c r="AD202" s="113"/>
      <c r="AE202" s="113"/>
      <c r="AF202" s="113"/>
      <c r="AG202" s="113"/>
      <c r="AH202" s="113"/>
      <c r="AI202" s="113"/>
      <c r="AJ202" s="68"/>
      <c r="AK202" s="68"/>
      <c r="AL202" s="68"/>
    </row>
    <row r="203" spans="1:57" s="27" customFormat="1" x14ac:dyDescent="0.25">
      <c r="A203" s="60" t="s">
        <v>1217</v>
      </c>
      <c r="B203" s="65" t="s">
        <v>1218</v>
      </c>
      <c r="C203" s="62">
        <v>2008</v>
      </c>
      <c r="D203" s="1">
        <f t="shared" ref="D203:D217" si="12">R203+E203+F203</f>
        <v>0</v>
      </c>
      <c r="E203" s="233">
        <f>0</f>
        <v>0</v>
      </c>
      <c r="F203" s="233"/>
      <c r="G203" s="120"/>
      <c r="H203" s="233"/>
      <c r="I203" s="233"/>
      <c r="J203" s="233"/>
      <c r="K203" s="233"/>
      <c r="L203" s="233"/>
      <c r="M203" s="233"/>
      <c r="N203" s="233"/>
      <c r="O203" s="233"/>
      <c r="P203" s="233"/>
      <c r="Q203" s="96"/>
      <c r="R203" s="97"/>
      <c r="S203" s="22"/>
      <c r="T203" s="233"/>
      <c r="U203" s="233"/>
      <c r="V203" s="233"/>
      <c r="W203" s="233"/>
      <c r="X203" s="233"/>
      <c r="Y203" s="233"/>
      <c r="Z203" s="68"/>
      <c r="AA203" s="97"/>
      <c r="AB203" s="22"/>
      <c r="AC203" s="234"/>
      <c r="AD203" s="234"/>
      <c r="AE203" s="234"/>
      <c r="AF203" s="234"/>
      <c r="AG203" s="234"/>
      <c r="AH203" s="234"/>
      <c r="AI203" s="234"/>
      <c r="AJ203" s="68"/>
      <c r="AK203" s="68"/>
      <c r="AL203" s="68"/>
    </row>
    <row r="204" spans="1:57" s="27" customFormat="1" x14ac:dyDescent="0.25">
      <c r="A204" s="60" t="s">
        <v>1199</v>
      </c>
      <c r="B204" s="65" t="s">
        <v>232</v>
      </c>
      <c r="C204" s="62">
        <v>2008</v>
      </c>
      <c r="D204" s="1">
        <f t="shared" si="12"/>
        <v>17</v>
      </c>
      <c r="E204" s="233">
        <f>2+15</f>
        <v>17</v>
      </c>
      <c r="F204" s="233"/>
      <c r="G204" s="120"/>
      <c r="H204" s="233"/>
      <c r="I204" s="233"/>
      <c r="J204" s="233"/>
      <c r="K204" s="233"/>
      <c r="L204" s="233"/>
      <c r="M204" s="233"/>
      <c r="N204" s="233"/>
      <c r="O204" s="233"/>
      <c r="P204" s="233"/>
      <c r="Q204" s="96">
        <f t="shared" ref="Q204:Q217" si="13">I204+J204+K204+L204+M204+N204+O204</f>
        <v>0</v>
      </c>
      <c r="R204" s="97">
        <f>IF(C204=2008, Q204/3,Q204)+P204</f>
        <v>0</v>
      </c>
      <c r="S204" s="22"/>
      <c r="T204" s="233"/>
      <c r="U204" s="233"/>
      <c r="V204" s="233"/>
      <c r="W204" s="233"/>
      <c r="X204" s="233"/>
      <c r="Y204" s="233"/>
      <c r="Z204" s="68"/>
      <c r="AA204" s="97"/>
      <c r="AB204" s="22"/>
      <c r="AC204" s="234"/>
      <c r="AD204" s="234"/>
      <c r="AE204" s="234"/>
      <c r="AF204" s="234"/>
      <c r="AG204" s="234"/>
      <c r="AH204" s="234"/>
      <c r="AI204" s="234"/>
      <c r="AJ204" s="68"/>
      <c r="AK204" s="68"/>
      <c r="AL204" s="68"/>
    </row>
    <row r="205" spans="1:57" s="17" customFormat="1" x14ac:dyDescent="0.25">
      <c r="A205" s="12" t="s">
        <v>1215</v>
      </c>
      <c r="B205" s="65" t="s">
        <v>87</v>
      </c>
      <c r="C205" s="4">
        <v>2008</v>
      </c>
      <c r="D205" s="1">
        <f t="shared" si="12"/>
        <v>18</v>
      </c>
      <c r="E205" s="233">
        <f>18</f>
        <v>18</v>
      </c>
      <c r="F205" s="219"/>
      <c r="G205" s="154"/>
      <c r="H205" s="219"/>
      <c r="I205" s="161"/>
      <c r="J205" s="161"/>
      <c r="K205" s="161"/>
      <c r="L205" s="161"/>
      <c r="M205" s="161"/>
      <c r="N205" s="161"/>
      <c r="O205" s="161"/>
      <c r="P205" s="26"/>
      <c r="Q205" s="96">
        <f t="shared" si="13"/>
        <v>0</v>
      </c>
      <c r="R205" s="97">
        <f>IF(C205=2008, Q205/3,Q205)+P205</f>
        <v>0</v>
      </c>
      <c r="S205" s="26"/>
      <c r="T205" s="26"/>
      <c r="U205" s="26"/>
      <c r="V205" s="26"/>
      <c r="W205" s="26"/>
      <c r="X205" s="26"/>
      <c r="Y205" s="26"/>
      <c r="Z205" s="4"/>
      <c r="AA205" s="4"/>
      <c r="AB205" s="26"/>
      <c r="AC205" s="26"/>
      <c r="AD205" s="26"/>
      <c r="AE205" s="26"/>
      <c r="AF205" s="26"/>
      <c r="AG205" s="26"/>
      <c r="AH205" s="26"/>
      <c r="AI205" s="26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</row>
    <row r="206" spans="1:57" s="17" customFormat="1" x14ac:dyDescent="0.25">
      <c r="A206" s="60" t="s">
        <v>980</v>
      </c>
      <c r="B206" s="65" t="s">
        <v>63</v>
      </c>
      <c r="C206" s="62">
        <v>2008</v>
      </c>
      <c r="D206" s="1">
        <f t="shared" si="12"/>
        <v>4.666666666666667</v>
      </c>
      <c r="E206" s="233"/>
      <c r="F206" s="233"/>
      <c r="G206" s="120"/>
      <c r="H206" s="233"/>
      <c r="I206" s="233"/>
      <c r="J206" s="233">
        <f>11+3</f>
        <v>14</v>
      </c>
      <c r="K206" s="233"/>
      <c r="L206" s="233"/>
      <c r="M206" s="233"/>
      <c r="N206" s="233"/>
      <c r="O206" s="233">
        <f>AA206</f>
        <v>0</v>
      </c>
      <c r="P206" s="120"/>
      <c r="Q206" s="96">
        <f t="shared" si="13"/>
        <v>14</v>
      </c>
      <c r="R206" s="97">
        <f>IF(C206=2008, Q206/3,Q206)+P206</f>
        <v>4.666666666666667</v>
      </c>
      <c r="S206" s="22"/>
      <c r="T206" s="233"/>
      <c r="U206" s="233"/>
      <c r="V206" s="233"/>
      <c r="W206" s="233"/>
      <c r="X206" s="233"/>
      <c r="Y206" s="120"/>
      <c r="Z206" s="96"/>
      <c r="AA206" s="97"/>
      <c r="AB206" s="22"/>
      <c r="AC206" s="13"/>
      <c r="AD206" s="13"/>
      <c r="AE206" s="13"/>
      <c r="AF206" s="13"/>
      <c r="AG206" s="13"/>
      <c r="AH206" s="13"/>
      <c r="AI206" s="13"/>
      <c r="AJ206" s="95"/>
      <c r="AK206" s="96"/>
      <c r="AL206" s="97"/>
    </row>
    <row r="207" spans="1:57" s="17" customFormat="1" x14ac:dyDescent="0.25">
      <c r="A207" s="60" t="s">
        <v>672</v>
      </c>
      <c r="B207" s="65" t="s">
        <v>479</v>
      </c>
      <c r="C207" s="62">
        <v>2007</v>
      </c>
      <c r="D207" s="1">
        <f t="shared" si="12"/>
        <v>3</v>
      </c>
      <c r="E207" s="233">
        <v>3</v>
      </c>
      <c r="F207" s="233"/>
      <c r="G207" s="120"/>
      <c r="H207" s="233"/>
      <c r="I207" s="233"/>
      <c r="J207" s="233"/>
      <c r="K207" s="233"/>
      <c r="L207" s="233"/>
      <c r="M207" s="233"/>
      <c r="N207" s="233"/>
      <c r="O207" s="233"/>
      <c r="P207" s="120"/>
      <c r="Q207" s="96">
        <f t="shared" si="13"/>
        <v>0</v>
      </c>
      <c r="R207" s="97">
        <f>IF(C207=2008, Q207/3,Q207)+P207</f>
        <v>0</v>
      </c>
      <c r="S207" s="22"/>
      <c r="T207" s="233"/>
      <c r="U207" s="233"/>
      <c r="V207" s="233"/>
      <c r="W207" s="233"/>
      <c r="X207" s="233"/>
      <c r="Y207" s="120"/>
      <c r="Z207" s="96"/>
      <c r="AA207" s="97"/>
      <c r="AB207" s="22"/>
      <c r="AC207" s="13"/>
      <c r="AD207" s="13"/>
      <c r="AE207" s="13"/>
      <c r="AF207" s="13"/>
      <c r="AG207" s="13"/>
      <c r="AH207" s="13"/>
      <c r="AI207" s="13"/>
      <c r="AJ207" s="95"/>
      <c r="AK207" s="96"/>
      <c r="AL207" s="97"/>
    </row>
    <row r="208" spans="1:57" s="3" customFormat="1" x14ac:dyDescent="0.25">
      <c r="A208" s="12" t="s">
        <v>1202</v>
      </c>
      <c r="B208" s="65" t="s">
        <v>87</v>
      </c>
      <c r="C208" s="4">
        <v>2007</v>
      </c>
      <c r="D208" s="1">
        <f t="shared" si="12"/>
        <v>42</v>
      </c>
      <c r="E208" s="233">
        <f>42</f>
        <v>42</v>
      </c>
      <c r="F208" s="233"/>
      <c r="G208" s="154"/>
      <c r="H208" s="233"/>
      <c r="I208" s="161"/>
      <c r="J208" s="161"/>
      <c r="K208" s="161"/>
      <c r="L208" s="161"/>
      <c r="M208" s="161"/>
      <c r="N208" s="161"/>
      <c r="O208" s="161"/>
      <c r="P208" s="26"/>
      <c r="Q208" s="96">
        <f t="shared" si="13"/>
        <v>0</v>
      </c>
      <c r="R208" s="97">
        <f>IF(C208=2008, Q208/3,Q208)+P208</f>
        <v>0</v>
      </c>
      <c r="S208" s="26"/>
      <c r="T208" s="26"/>
      <c r="U208" s="26"/>
      <c r="V208" s="26"/>
      <c r="W208" s="26"/>
      <c r="X208" s="26"/>
      <c r="Y208" s="26"/>
      <c r="Z208" s="4"/>
      <c r="AA208" s="4"/>
      <c r="AB208" s="26"/>
      <c r="AC208" s="26"/>
      <c r="AD208" s="26"/>
      <c r="AE208" s="26"/>
      <c r="AF208" s="26"/>
      <c r="AG208" s="26"/>
      <c r="AH208" s="26"/>
      <c r="AI208" s="26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</row>
    <row r="209" spans="1:57" s="3" customFormat="1" x14ac:dyDescent="0.25">
      <c r="A209" s="12" t="s">
        <v>1219</v>
      </c>
      <c r="B209" s="65" t="s">
        <v>87</v>
      </c>
      <c r="C209" s="4">
        <v>2006</v>
      </c>
      <c r="D209" s="1">
        <f t="shared" si="12"/>
        <v>0</v>
      </c>
      <c r="E209" s="233">
        <f>0</f>
        <v>0</v>
      </c>
      <c r="F209" s="233"/>
      <c r="G209" s="154"/>
      <c r="H209" s="233"/>
      <c r="I209" s="161"/>
      <c r="J209" s="161"/>
      <c r="K209" s="161"/>
      <c r="L209" s="161"/>
      <c r="M209" s="161"/>
      <c r="N209" s="161"/>
      <c r="O209" s="161"/>
      <c r="P209" s="26"/>
      <c r="Q209" s="96">
        <f t="shared" si="13"/>
        <v>0</v>
      </c>
      <c r="R209" s="97">
        <f>IF('Juniors female'!C335=2008, Q209/3,Q209)+P209</f>
        <v>0</v>
      </c>
      <c r="S209" s="26"/>
      <c r="T209" s="26"/>
      <c r="U209" s="26"/>
      <c r="V209" s="26"/>
      <c r="W209" s="26"/>
      <c r="X209" s="26"/>
      <c r="Y209" s="26"/>
      <c r="Z209" s="4"/>
      <c r="AA209" s="4"/>
      <c r="AB209" s="26"/>
      <c r="AC209" s="26"/>
      <c r="AD209" s="26"/>
      <c r="AE209" s="26"/>
      <c r="AF209" s="26"/>
      <c r="AG209" s="26"/>
      <c r="AH209" s="26"/>
      <c r="AI209" s="26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</row>
    <row r="210" spans="1:57" s="3" customFormat="1" x14ac:dyDescent="0.25">
      <c r="A210" s="12" t="s">
        <v>1211</v>
      </c>
      <c r="B210" s="65" t="s">
        <v>87</v>
      </c>
      <c r="C210" s="4">
        <v>2008</v>
      </c>
      <c r="D210" s="1">
        <f t="shared" si="12"/>
        <v>24</v>
      </c>
      <c r="E210" s="233">
        <f>24</f>
        <v>24</v>
      </c>
      <c r="F210" s="233"/>
      <c r="G210" s="120"/>
      <c r="H210" s="233"/>
      <c r="I210" s="161"/>
      <c r="J210" s="161"/>
      <c r="K210" s="161"/>
      <c r="L210" s="161"/>
      <c r="M210" s="161"/>
      <c r="N210" s="161"/>
      <c r="O210" s="161"/>
      <c r="P210" s="26"/>
      <c r="Q210" s="96">
        <f t="shared" si="13"/>
        <v>0</v>
      </c>
      <c r="R210" s="97">
        <f t="shared" ref="R210:R217" si="14">IF(C210=2008, Q210/3,Q210)+P210</f>
        <v>0</v>
      </c>
      <c r="S210" s="26"/>
      <c r="T210" s="26"/>
      <c r="U210" s="26"/>
      <c r="V210" s="26"/>
      <c r="W210" s="26"/>
      <c r="X210" s="26"/>
      <c r="Y210" s="26"/>
      <c r="Z210" s="4"/>
      <c r="AA210" s="4"/>
      <c r="AB210" s="26"/>
      <c r="AC210" s="26"/>
      <c r="AD210" s="26"/>
      <c r="AE210" s="26"/>
      <c r="AF210" s="26"/>
      <c r="AG210" s="26"/>
      <c r="AH210" s="26"/>
      <c r="AI210" s="26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</row>
    <row r="211" spans="1:57" s="3" customFormat="1" x14ac:dyDescent="0.25">
      <c r="A211" s="60" t="s">
        <v>1197</v>
      </c>
      <c r="B211" s="65" t="s">
        <v>86</v>
      </c>
      <c r="C211" s="62">
        <v>2008</v>
      </c>
      <c r="D211" s="1">
        <f t="shared" si="12"/>
        <v>9</v>
      </c>
      <c r="E211" s="233">
        <f>9</f>
        <v>9</v>
      </c>
      <c r="F211" s="219"/>
      <c r="G211" s="120"/>
      <c r="H211" s="219"/>
      <c r="I211" s="205"/>
      <c r="J211" s="196"/>
      <c r="K211" s="186"/>
      <c r="L211" s="170"/>
      <c r="M211" s="170"/>
      <c r="N211" s="170"/>
      <c r="O211" s="219"/>
      <c r="P211" s="120"/>
      <c r="Q211" s="96">
        <f t="shared" si="13"/>
        <v>0</v>
      </c>
      <c r="R211" s="97">
        <f t="shared" si="14"/>
        <v>0</v>
      </c>
      <c r="S211" s="22"/>
      <c r="T211" s="170"/>
      <c r="U211" s="170"/>
      <c r="V211" s="170"/>
      <c r="W211" s="170"/>
      <c r="X211" s="170"/>
      <c r="Y211" s="120"/>
      <c r="Z211" s="96"/>
      <c r="AA211" s="97"/>
      <c r="AB211" s="22"/>
      <c r="AC211" s="13"/>
      <c r="AD211" s="13"/>
      <c r="AE211" s="13"/>
      <c r="AF211" s="13"/>
      <c r="AG211" s="13"/>
      <c r="AH211" s="13"/>
      <c r="AI211" s="13"/>
      <c r="AJ211" s="95"/>
      <c r="AK211" s="96"/>
      <c r="AL211" s="9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</row>
    <row r="212" spans="1:57" x14ac:dyDescent="0.25">
      <c r="A212" s="12" t="s">
        <v>1214</v>
      </c>
      <c r="B212" s="65" t="s">
        <v>87</v>
      </c>
      <c r="C212" s="4">
        <v>2008</v>
      </c>
      <c r="D212" s="1">
        <f t="shared" si="12"/>
        <v>21</v>
      </c>
      <c r="E212" s="156">
        <f>21</f>
        <v>21</v>
      </c>
      <c r="F212" s="156"/>
      <c r="G212" s="122"/>
      <c r="H212" s="156"/>
      <c r="Q212" s="96">
        <f t="shared" si="13"/>
        <v>0</v>
      </c>
      <c r="R212" s="97">
        <f t="shared" si="14"/>
        <v>0</v>
      </c>
    </row>
    <row r="213" spans="1:57" x14ac:dyDescent="0.25">
      <c r="A213" s="12" t="s">
        <v>1205</v>
      </c>
      <c r="B213" s="65" t="s">
        <v>87</v>
      </c>
      <c r="C213" s="4">
        <v>2007</v>
      </c>
      <c r="D213" s="1">
        <f t="shared" si="12"/>
        <v>36</v>
      </c>
      <c r="E213" s="233">
        <f>36</f>
        <v>36</v>
      </c>
      <c r="G213" s="154"/>
      <c r="Q213" s="96">
        <f t="shared" si="13"/>
        <v>0</v>
      </c>
      <c r="R213" s="97">
        <f t="shared" si="14"/>
        <v>0</v>
      </c>
    </row>
    <row r="214" spans="1:57" x14ac:dyDescent="0.25">
      <c r="A214" s="11" t="s">
        <v>1200</v>
      </c>
      <c r="B214" s="65" t="s">
        <v>86</v>
      </c>
      <c r="C214" s="62">
        <v>2008</v>
      </c>
      <c r="D214" s="1">
        <f t="shared" si="12"/>
        <v>1</v>
      </c>
      <c r="E214" s="156">
        <v>1</v>
      </c>
      <c r="F214" s="156"/>
      <c r="G214" s="122"/>
      <c r="H214" s="156"/>
      <c r="I214" s="233"/>
      <c r="J214" s="233"/>
      <c r="K214" s="233"/>
      <c r="L214" s="233"/>
      <c r="M214" s="233"/>
      <c r="N214" s="233"/>
      <c r="O214" s="233"/>
      <c r="P214" s="120"/>
      <c r="Q214" s="96">
        <f t="shared" si="13"/>
        <v>0</v>
      </c>
      <c r="R214" s="97">
        <f t="shared" si="14"/>
        <v>0</v>
      </c>
      <c r="S214" s="22"/>
      <c r="T214" s="233"/>
      <c r="U214" s="233"/>
      <c r="V214" s="233"/>
      <c r="W214" s="233"/>
      <c r="X214" s="233"/>
      <c r="Y214" s="120"/>
      <c r="Z214" s="96"/>
      <c r="AA214" s="97"/>
      <c r="AB214" s="22"/>
      <c r="AC214" s="41"/>
      <c r="AD214" s="41"/>
      <c r="AE214" s="41"/>
      <c r="AF214" s="41"/>
      <c r="AG214" s="41"/>
      <c r="AH214" s="41"/>
      <c r="AI214" s="13"/>
      <c r="AJ214" s="95"/>
      <c r="AK214" s="96"/>
      <c r="AL214" s="97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</row>
    <row r="215" spans="1:57" x14ac:dyDescent="0.25">
      <c r="A215" s="12" t="s">
        <v>1207</v>
      </c>
      <c r="B215" s="65" t="s">
        <v>87</v>
      </c>
      <c r="C215" s="4">
        <v>2008</v>
      </c>
      <c r="D215" s="1">
        <f t="shared" si="12"/>
        <v>30</v>
      </c>
      <c r="E215" s="233">
        <f>30</f>
        <v>30</v>
      </c>
      <c r="F215" s="233"/>
      <c r="G215" s="154"/>
      <c r="H215" s="233"/>
      <c r="Q215" s="96">
        <f t="shared" si="13"/>
        <v>0</v>
      </c>
      <c r="R215" s="97">
        <f t="shared" si="14"/>
        <v>0</v>
      </c>
    </row>
    <row r="216" spans="1:57" x14ac:dyDescent="0.25">
      <c r="A216" s="11" t="s">
        <v>1201</v>
      </c>
      <c r="B216" s="65" t="s">
        <v>86</v>
      </c>
      <c r="C216" s="62">
        <v>2006</v>
      </c>
      <c r="D216" s="1">
        <f t="shared" si="12"/>
        <v>0</v>
      </c>
      <c r="E216" s="156">
        <v>0</v>
      </c>
      <c r="F216" s="156"/>
      <c r="G216" s="122"/>
      <c r="H216" s="156"/>
      <c r="I216" s="233"/>
      <c r="J216" s="233"/>
      <c r="K216" s="233"/>
      <c r="L216" s="233"/>
      <c r="M216" s="233"/>
      <c r="N216" s="233"/>
      <c r="O216" s="233"/>
      <c r="P216" s="120"/>
      <c r="Q216" s="96">
        <f t="shared" si="13"/>
        <v>0</v>
      </c>
      <c r="R216" s="97">
        <f t="shared" si="14"/>
        <v>0</v>
      </c>
      <c r="S216" s="22"/>
      <c r="T216" s="233"/>
      <c r="U216" s="233"/>
      <c r="V216" s="233"/>
      <c r="W216" s="233"/>
      <c r="X216" s="233"/>
      <c r="Y216" s="120"/>
      <c r="Z216" s="96"/>
      <c r="AA216" s="97"/>
      <c r="AB216" s="22"/>
      <c r="AC216" s="41"/>
      <c r="AD216" s="41"/>
      <c r="AE216" s="41"/>
      <c r="AF216" s="41"/>
      <c r="AG216" s="41"/>
      <c r="AH216" s="41"/>
      <c r="AI216" s="13"/>
      <c r="AJ216" s="95"/>
      <c r="AK216" s="96"/>
      <c r="AL216" s="97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</row>
    <row r="217" spans="1:57" x14ac:dyDescent="0.25">
      <c r="A217" s="12" t="s">
        <v>1198</v>
      </c>
      <c r="B217" s="65" t="s">
        <v>86</v>
      </c>
      <c r="C217" s="4">
        <v>2008</v>
      </c>
      <c r="D217" s="1">
        <f t="shared" si="12"/>
        <v>3</v>
      </c>
      <c r="E217" s="233">
        <f>3</f>
        <v>3</v>
      </c>
      <c r="G217" s="154"/>
      <c r="Q217" s="96">
        <f t="shared" si="13"/>
        <v>0</v>
      </c>
      <c r="R217" s="97">
        <f t="shared" si="14"/>
        <v>0</v>
      </c>
    </row>
    <row r="218" spans="1:57" x14ac:dyDescent="0.25">
      <c r="D218" s="1"/>
      <c r="E218" s="156"/>
      <c r="F218" s="156"/>
      <c r="G218" s="122"/>
      <c r="H218" s="156"/>
      <c r="Q218" s="96">
        <f t="shared" si="10"/>
        <v>0</v>
      </c>
      <c r="R218" s="97">
        <f>IF('Juniors female'!C435=2008, Q218/3,Q218)+P218</f>
        <v>0</v>
      </c>
    </row>
    <row r="219" spans="1:57" x14ac:dyDescent="0.25">
      <c r="G219" s="154"/>
      <c r="Q219" s="96">
        <f t="shared" si="10"/>
        <v>0</v>
      </c>
      <c r="R219" s="97">
        <f t="shared" ref="R219:R236" si="15">IF(C219=2008, Q219/3,Q219)+P219</f>
        <v>0</v>
      </c>
    </row>
    <row r="220" spans="1:57" x14ac:dyDescent="0.25">
      <c r="E220" s="108"/>
      <c r="F220" s="108"/>
      <c r="G220" s="122"/>
      <c r="H220" s="108"/>
      <c r="Q220" s="96">
        <f t="shared" si="10"/>
        <v>0</v>
      </c>
      <c r="R220" s="97">
        <f t="shared" si="15"/>
        <v>0</v>
      </c>
    </row>
    <row r="221" spans="1:57" x14ac:dyDescent="0.25">
      <c r="G221" s="120"/>
      <c r="Q221" s="96">
        <f t="shared" si="10"/>
        <v>0</v>
      </c>
      <c r="R221" s="97">
        <f t="shared" si="15"/>
        <v>0</v>
      </c>
    </row>
    <row r="222" spans="1:57" x14ac:dyDescent="0.25">
      <c r="E222" s="156"/>
      <c r="F222" s="156"/>
      <c r="G222" s="122"/>
      <c r="H222" s="156"/>
      <c r="Q222" s="96">
        <f t="shared" si="10"/>
        <v>0</v>
      </c>
      <c r="R222" s="97">
        <f t="shared" si="15"/>
        <v>0</v>
      </c>
    </row>
    <row r="223" spans="1:57" x14ac:dyDescent="0.25">
      <c r="G223" s="120"/>
      <c r="Q223" s="96">
        <f t="shared" si="10"/>
        <v>0</v>
      </c>
      <c r="R223" s="97">
        <f t="shared" si="15"/>
        <v>0</v>
      </c>
    </row>
    <row r="224" spans="1:57" x14ac:dyDescent="0.25">
      <c r="G224" s="154"/>
      <c r="Q224" s="96">
        <f t="shared" si="10"/>
        <v>0</v>
      </c>
      <c r="R224" s="97">
        <f t="shared" si="15"/>
        <v>0</v>
      </c>
    </row>
    <row r="225" spans="5:18" x14ac:dyDescent="0.25">
      <c r="G225" s="120"/>
      <c r="Q225" s="96">
        <f t="shared" si="10"/>
        <v>0</v>
      </c>
      <c r="R225" s="97">
        <f t="shared" si="15"/>
        <v>0</v>
      </c>
    </row>
    <row r="226" spans="5:18" x14ac:dyDescent="0.25">
      <c r="E226" s="156"/>
      <c r="F226" s="156"/>
      <c r="G226" s="122"/>
      <c r="H226" s="156"/>
      <c r="Q226" s="96">
        <f t="shared" si="10"/>
        <v>0</v>
      </c>
      <c r="R226" s="97">
        <f t="shared" si="15"/>
        <v>0</v>
      </c>
    </row>
    <row r="227" spans="5:18" x14ac:dyDescent="0.25">
      <c r="G227" s="154"/>
      <c r="Q227" s="96">
        <f t="shared" si="10"/>
        <v>0</v>
      </c>
      <c r="R227" s="97">
        <f t="shared" si="15"/>
        <v>0</v>
      </c>
    </row>
    <row r="228" spans="5:18" x14ac:dyDescent="0.25">
      <c r="G228" s="154"/>
      <c r="Q228" s="96">
        <f t="shared" si="10"/>
        <v>0</v>
      </c>
      <c r="R228" s="97">
        <f t="shared" si="15"/>
        <v>0</v>
      </c>
    </row>
    <row r="229" spans="5:18" x14ac:dyDescent="0.25">
      <c r="G229" s="120"/>
      <c r="Q229" s="96">
        <f t="shared" si="10"/>
        <v>0</v>
      </c>
      <c r="R229" s="97">
        <f t="shared" si="15"/>
        <v>0</v>
      </c>
    </row>
    <row r="230" spans="5:18" x14ac:dyDescent="0.25">
      <c r="G230" s="120"/>
      <c r="Q230" s="96">
        <f t="shared" si="10"/>
        <v>0</v>
      </c>
      <c r="R230" s="97">
        <f t="shared" si="15"/>
        <v>0</v>
      </c>
    </row>
    <row r="231" spans="5:18" x14ac:dyDescent="0.25">
      <c r="G231" s="120"/>
      <c r="Q231" s="96">
        <f t="shared" si="10"/>
        <v>0</v>
      </c>
      <c r="R231" s="97">
        <f t="shared" si="15"/>
        <v>0</v>
      </c>
    </row>
    <row r="232" spans="5:18" x14ac:dyDescent="0.25">
      <c r="G232" s="154"/>
      <c r="Q232" s="96">
        <f t="shared" si="10"/>
        <v>0</v>
      </c>
      <c r="R232" s="97">
        <f t="shared" si="15"/>
        <v>0</v>
      </c>
    </row>
    <row r="233" spans="5:18" x14ac:dyDescent="0.25">
      <c r="G233" s="120"/>
      <c r="Q233" s="96">
        <f t="shared" si="10"/>
        <v>0</v>
      </c>
      <c r="R233" s="97">
        <f t="shared" si="15"/>
        <v>0</v>
      </c>
    </row>
    <row r="234" spans="5:18" x14ac:dyDescent="0.25">
      <c r="E234" s="156"/>
      <c r="F234" s="156"/>
      <c r="G234" s="122"/>
      <c r="H234" s="156"/>
      <c r="Q234" s="96">
        <f t="shared" si="10"/>
        <v>0</v>
      </c>
      <c r="R234" s="97">
        <f t="shared" si="15"/>
        <v>0</v>
      </c>
    </row>
    <row r="235" spans="5:18" x14ac:dyDescent="0.25">
      <c r="E235" s="108"/>
      <c r="F235" s="108"/>
      <c r="G235" s="122"/>
      <c r="H235" s="108"/>
      <c r="Q235" s="96">
        <f t="shared" si="10"/>
        <v>0</v>
      </c>
      <c r="R235" s="97">
        <f t="shared" si="15"/>
        <v>0</v>
      </c>
    </row>
    <row r="236" spans="5:18" x14ac:dyDescent="0.25">
      <c r="G236" s="154"/>
      <c r="Q236" s="96">
        <f t="shared" si="10"/>
        <v>0</v>
      </c>
      <c r="R236" s="97">
        <f t="shared" si="15"/>
        <v>0</v>
      </c>
    </row>
    <row r="237" spans="5:18" x14ac:dyDescent="0.25">
      <c r="E237" s="156"/>
      <c r="F237" s="156"/>
      <c r="G237" s="122"/>
      <c r="H237" s="156"/>
      <c r="Q237" s="96">
        <f t="shared" si="10"/>
        <v>0</v>
      </c>
      <c r="R237" s="97">
        <f t="shared" ref="R237:R266" si="16">IF(C237=2012, Q237/3,Q237)+P237</f>
        <v>0</v>
      </c>
    </row>
    <row r="238" spans="5:18" x14ac:dyDescent="0.25">
      <c r="G238" s="120"/>
      <c r="Q238" s="96">
        <f t="shared" si="10"/>
        <v>0</v>
      </c>
      <c r="R238" s="97">
        <f t="shared" si="16"/>
        <v>0</v>
      </c>
    </row>
    <row r="239" spans="5:18" x14ac:dyDescent="0.25">
      <c r="G239" s="120"/>
      <c r="Q239" s="96">
        <f t="shared" si="10"/>
        <v>0</v>
      </c>
      <c r="R239" s="97">
        <f t="shared" si="16"/>
        <v>0</v>
      </c>
    </row>
    <row r="240" spans="5:18" x14ac:dyDescent="0.25">
      <c r="G240" s="154"/>
      <c r="Q240" s="96">
        <f t="shared" si="10"/>
        <v>0</v>
      </c>
      <c r="R240" s="97">
        <f t="shared" si="16"/>
        <v>0</v>
      </c>
    </row>
    <row r="241" spans="7:18" x14ac:dyDescent="0.25">
      <c r="G241" s="120"/>
      <c r="Q241" s="96">
        <f t="shared" si="10"/>
        <v>0</v>
      </c>
      <c r="R241" s="97">
        <f t="shared" si="16"/>
        <v>0</v>
      </c>
    </row>
    <row r="242" spans="7:18" x14ac:dyDescent="0.25">
      <c r="G242" s="154"/>
      <c r="Q242" s="96">
        <f t="shared" si="10"/>
        <v>0</v>
      </c>
      <c r="R242" s="97">
        <f t="shared" si="16"/>
        <v>0</v>
      </c>
    </row>
    <row r="243" spans="7:18" x14ac:dyDescent="0.25">
      <c r="Q243" s="96">
        <f t="shared" si="10"/>
        <v>0</v>
      </c>
      <c r="R243" s="97">
        <f t="shared" si="16"/>
        <v>0</v>
      </c>
    </row>
    <row r="244" spans="7:18" x14ac:dyDescent="0.25">
      <c r="G244" s="154"/>
      <c r="Q244" s="96">
        <f t="shared" si="10"/>
        <v>0</v>
      </c>
      <c r="R244" s="97">
        <f t="shared" si="16"/>
        <v>0</v>
      </c>
    </row>
    <row r="245" spans="7:18" x14ac:dyDescent="0.25">
      <c r="G245" s="154"/>
      <c r="Q245" s="96">
        <f t="shared" si="10"/>
        <v>0</v>
      </c>
      <c r="R245" s="97">
        <f t="shared" si="16"/>
        <v>0</v>
      </c>
    </row>
    <row r="246" spans="7:18" x14ac:dyDescent="0.25">
      <c r="G246" s="154"/>
      <c r="Q246" s="96">
        <f t="shared" si="10"/>
        <v>0</v>
      </c>
      <c r="R246" s="97">
        <f t="shared" si="16"/>
        <v>0</v>
      </c>
    </row>
    <row r="247" spans="7:18" x14ac:dyDescent="0.25">
      <c r="G247" s="154"/>
      <c r="Q247" s="96">
        <f t="shared" si="10"/>
        <v>0</v>
      </c>
      <c r="R247" s="97">
        <f t="shared" si="16"/>
        <v>0</v>
      </c>
    </row>
    <row r="248" spans="7:18" x14ac:dyDescent="0.25">
      <c r="G248" s="154"/>
      <c r="Q248" s="96">
        <f t="shared" si="10"/>
        <v>0</v>
      </c>
      <c r="R248" s="97">
        <f t="shared" si="16"/>
        <v>0</v>
      </c>
    </row>
    <row r="249" spans="7:18" x14ac:dyDescent="0.25">
      <c r="G249" s="154"/>
      <c r="Q249" s="96">
        <f t="shared" si="10"/>
        <v>0</v>
      </c>
      <c r="R249" s="97">
        <f t="shared" si="16"/>
        <v>0</v>
      </c>
    </row>
    <row r="250" spans="7:18" x14ac:dyDescent="0.25">
      <c r="G250" s="154"/>
      <c r="Q250" s="96">
        <f t="shared" si="10"/>
        <v>0</v>
      </c>
      <c r="R250" s="97">
        <f t="shared" si="16"/>
        <v>0</v>
      </c>
    </row>
    <row r="251" spans="7:18" x14ac:dyDescent="0.25">
      <c r="G251" s="154"/>
      <c r="Q251" s="96">
        <f t="shared" si="10"/>
        <v>0</v>
      </c>
      <c r="R251" s="97">
        <f t="shared" si="16"/>
        <v>0</v>
      </c>
    </row>
    <row r="252" spans="7:18" x14ac:dyDescent="0.25">
      <c r="G252" s="154"/>
      <c r="Q252" s="96">
        <f t="shared" si="10"/>
        <v>0</v>
      </c>
      <c r="R252" s="97">
        <f t="shared" si="16"/>
        <v>0</v>
      </c>
    </row>
    <row r="253" spans="7:18" x14ac:dyDescent="0.25">
      <c r="G253" s="154"/>
      <c r="Q253" s="96">
        <f t="shared" si="10"/>
        <v>0</v>
      </c>
      <c r="R253" s="97">
        <f t="shared" si="16"/>
        <v>0</v>
      </c>
    </row>
    <row r="254" spans="7:18" x14ac:dyDescent="0.25">
      <c r="G254" s="154"/>
      <c r="Q254" s="96">
        <f t="shared" si="10"/>
        <v>0</v>
      </c>
      <c r="R254" s="97">
        <f t="shared" si="16"/>
        <v>0</v>
      </c>
    </row>
    <row r="255" spans="7:18" x14ac:dyDescent="0.25">
      <c r="G255" s="154"/>
      <c r="Q255" s="96">
        <f t="shared" si="10"/>
        <v>0</v>
      </c>
      <c r="R255" s="97">
        <f t="shared" si="16"/>
        <v>0</v>
      </c>
    </row>
    <row r="256" spans="7:18" x14ac:dyDescent="0.25">
      <c r="G256" s="154"/>
      <c r="Q256" s="96">
        <f t="shared" si="10"/>
        <v>0</v>
      </c>
      <c r="R256" s="97">
        <f t="shared" si="16"/>
        <v>0</v>
      </c>
    </row>
    <row r="257" spans="5:18" x14ac:dyDescent="0.25">
      <c r="G257" s="154"/>
      <c r="Q257" s="96">
        <f t="shared" si="10"/>
        <v>0</v>
      </c>
      <c r="R257" s="97">
        <f t="shared" si="16"/>
        <v>0</v>
      </c>
    </row>
    <row r="258" spans="5:18" x14ac:dyDescent="0.25">
      <c r="G258" s="154"/>
      <c r="Q258" s="96">
        <f t="shared" si="10"/>
        <v>0</v>
      </c>
      <c r="R258" s="97">
        <f t="shared" si="16"/>
        <v>0</v>
      </c>
    </row>
    <row r="259" spans="5:18" x14ac:dyDescent="0.25">
      <c r="G259" s="154"/>
      <c r="Q259" s="96">
        <f t="shared" si="10"/>
        <v>0</v>
      </c>
      <c r="R259" s="97">
        <f t="shared" si="16"/>
        <v>0</v>
      </c>
    </row>
    <row r="260" spans="5:18" x14ac:dyDescent="0.25">
      <c r="G260" s="154"/>
      <c r="Q260" s="96">
        <f t="shared" si="10"/>
        <v>0</v>
      </c>
      <c r="R260" s="97">
        <f t="shared" si="16"/>
        <v>0</v>
      </c>
    </row>
    <row r="261" spans="5:18" x14ac:dyDescent="0.25">
      <c r="G261" s="154"/>
      <c r="Q261" s="96">
        <f t="shared" si="10"/>
        <v>0</v>
      </c>
      <c r="R261" s="97">
        <f t="shared" si="16"/>
        <v>0</v>
      </c>
    </row>
    <row r="262" spans="5:18" x14ac:dyDescent="0.25">
      <c r="G262" s="120"/>
      <c r="Q262" s="96">
        <f t="shared" si="10"/>
        <v>0</v>
      </c>
      <c r="R262" s="97">
        <f t="shared" si="16"/>
        <v>0</v>
      </c>
    </row>
    <row r="263" spans="5:18" x14ac:dyDescent="0.25">
      <c r="E263" s="156"/>
      <c r="F263" s="156"/>
      <c r="G263" s="154"/>
      <c r="H263" s="156"/>
      <c r="Q263" s="96">
        <f t="shared" si="10"/>
        <v>0</v>
      </c>
      <c r="R263" s="97">
        <f t="shared" si="16"/>
        <v>0</v>
      </c>
    </row>
    <row r="264" spans="5:18" x14ac:dyDescent="0.25">
      <c r="E264" s="156"/>
      <c r="F264" s="156"/>
      <c r="G264" s="154"/>
      <c r="H264" s="156"/>
      <c r="Q264" s="96">
        <f t="shared" ref="Q264:Q277" si="17">I264+J264+K264+L264+M264+N264+O264</f>
        <v>0</v>
      </c>
      <c r="R264" s="97">
        <f t="shared" si="16"/>
        <v>0</v>
      </c>
    </row>
    <row r="265" spans="5:18" x14ac:dyDescent="0.25">
      <c r="E265" s="156"/>
      <c r="F265" s="156"/>
      <c r="G265" s="154"/>
      <c r="H265" s="156"/>
      <c r="Q265" s="96">
        <f t="shared" si="17"/>
        <v>0</v>
      </c>
      <c r="R265" s="97">
        <f t="shared" si="16"/>
        <v>0</v>
      </c>
    </row>
    <row r="266" spans="5:18" x14ac:dyDescent="0.25">
      <c r="E266" s="156"/>
      <c r="F266" s="156"/>
      <c r="G266" s="154"/>
      <c r="H266" s="156"/>
      <c r="Q266" s="96">
        <f t="shared" si="17"/>
        <v>0</v>
      </c>
      <c r="R266" s="97">
        <f t="shared" si="16"/>
        <v>0</v>
      </c>
    </row>
    <row r="267" spans="5:18" x14ac:dyDescent="0.25">
      <c r="E267" s="156"/>
      <c r="F267" s="156"/>
      <c r="G267" s="154"/>
      <c r="H267" s="156"/>
      <c r="Q267" s="96">
        <f t="shared" si="17"/>
        <v>0</v>
      </c>
      <c r="R267" s="97">
        <f t="shared" ref="R267:R330" si="18">IF(C267=2012, Q267/3,Q267)+P267</f>
        <v>0</v>
      </c>
    </row>
    <row r="268" spans="5:18" x14ac:dyDescent="0.25">
      <c r="E268" s="156"/>
      <c r="F268" s="156"/>
      <c r="G268" s="154"/>
      <c r="H268" s="156"/>
      <c r="Q268" s="96">
        <f t="shared" si="17"/>
        <v>0</v>
      </c>
      <c r="R268" s="97">
        <f t="shared" si="18"/>
        <v>0</v>
      </c>
    </row>
    <row r="269" spans="5:18" x14ac:dyDescent="0.25">
      <c r="E269" s="156"/>
      <c r="F269" s="156"/>
      <c r="G269" s="154"/>
      <c r="H269" s="156"/>
      <c r="Q269" s="96">
        <f t="shared" si="17"/>
        <v>0</v>
      </c>
      <c r="R269" s="97">
        <f t="shared" si="18"/>
        <v>0</v>
      </c>
    </row>
    <row r="270" spans="5:18" x14ac:dyDescent="0.25">
      <c r="E270" s="156"/>
      <c r="F270" s="156"/>
      <c r="G270" s="154"/>
      <c r="H270" s="156"/>
      <c r="Q270" s="96">
        <f t="shared" si="17"/>
        <v>0</v>
      </c>
      <c r="R270" s="97">
        <f t="shared" si="18"/>
        <v>0</v>
      </c>
    </row>
    <row r="271" spans="5:18" x14ac:dyDescent="0.25">
      <c r="E271" s="156"/>
      <c r="F271" s="156"/>
      <c r="G271" s="154"/>
      <c r="H271" s="156"/>
      <c r="Q271" s="96">
        <f t="shared" si="17"/>
        <v>0</v>
      </c>
      <c r="R271" s="97">
        <f t="shared" si="18"/>
        <v>0</v>
      </c>
    </row>
    <row r="272" spans="5:18" x14ac:dyDescent="0.25">
      <c r="G272" s="154"/>
      <c r="Q272" s="96">
        <f t="shared" si="17"/>
        <v>0</v>
      </c>
      <c r="R272" s="97">
        <f t="shared" si="18"/>
        <v>0</v>
      </c>
    </row>
    <row r="273" spans="5:18" x14ac:dyDescent="0.25">
      <c r="G273" s="154"/>
      <c r="Q273" s="96">
        <f t="shared" si="17"/>
        <v>0</v>
      </c>
      <c r="R273" s="97">
        <f t="shared" si="18"/>
        <v>0</v>
      </c>
    </row>
    <row r="274" spans="5:18" x14ac:dyDescent="0.25">
      <c r="G274" s="154"/>
      <c r="Q274" s="96">
        <f t="shared" si="17"/>
        <v>0</v>
      </c>
      <c r="R274" s="97">
        <f t="shared" si="18"/>
        <v>0</v>
      </c>
    </row>
    <row r="275" spans="5:18" x14ac:dyDescent="0.25">
      <c r="E275" s="108"/>
      <c r="F275" s="108"/>
      <c r="G275" s="122"/>
      <c r="H275" s="108"/>
      <c r="Q275" s="96">
        <f t="shared" si="17"/>
        <v>0</v>
      </c>
      <c r="R275" s="97">
        <f t="shared" si="18"/>
        <v>0</v>
      </c>
    </row>
    <row r="276" spans="5:18" x14ac:dyDescent="0.25">
      <c r="G276" s="154"/>
      <c r="Q276" s="96">
        <f t="shared" si="17"/>
        <v>0</v>
      </c>
      <c r="R276" s="97">
        <f t="shared" si="18"/>
        <v>0</v>
      </c>
    </row>
    <row r="277" spans="5:18" x14ac:dyDescent="0.25">
      <c r="G277" s="154"/>
      <c r="Q277" s="96">
        <f t="shared" si="17"/>
        <v>0</v>
      </c>
      <c r="R277" s="97">
        <f t="shared" si="18"/>
        <v>0</v>
      </c>
    </row>
    <row r="278" spans="5:18" x14ac:dyDescent="0.25">
      <c r="E278" s="108"/>
      <c r="F278" s="108"/>
      <c r="G278" s="122"/>
      <c r="H278" s="108"/>
      <c r="Q278" s="96">
        <f t="shared" ref="Q278:Q330" si="19">D278</f>
        <v>0</v>
      </c>
      <c r="R278" s="97">
        <f t="shared" si="18"/>
        <v>0</v>
      </c>
    </row>
    <row r="279" spans="5:18" x14ac:dyDescent="0.25">
      <c r="G279" s="154"/>
      <c r="Q279" s="96">
        <f t="shared" si="19"/>
        <v>0</v>
      </c>
      <c r="R279" s="97">
        <f t="shared" si="18"/>
        <v>0</v>
      </c>
    </row>
    <row r="280" spans="5:18" x14ac:dyDescent="0.25">
      <c r="G280" s="154"/>
      <c r="Q280" s="96">
        <f t="shared" si="19"/>
        <v>0</v>
      </c>
      <c r="R280" s="97">
        <f t="shared" si="18"/>
        <v>0</v>
      </c>
    </row>
    <row r="281" spans="5:18" x14ac:dyDescent="0.25">
      <c r="Q281" s="96">
        <f t="shared" si="19"/>
        <v>0</v>
      </c>
      <c r="R281" s="97">
        <f t="shared" si="18"/>
        <v>0</v>
      </c>
    </row>
    <row r="282" spans="5:18" x14ac:dyDescent="0.25">
      <c r="G282" s="154"/>
      <c r="Q282" s="96">
        <f t="shared" si="19"/>
        <v>0</v>
      </c>
      <c r="R282" s="97">
        <f t="shared" si="18"/>
        <v>0</v>
      </c>
    </row>
    <row r="283" spans="5:18" x14ac:dyDescent="0.25">
      <c r="G283" s="154"/>
      <c r="Q283" s="96">
        <f t="shared" si="19"/>
        <v>0</v>
      </c>
      <c r="R283" s="97">
        <f t="shared" si="18"/>
        <v>0</v>
      </c>
    </row>
    <row r="284" spans="5:18" x14ac:dyDescent="0.25">
      <c r="G284" s="154"/>
      <c r="Q284" s="96">
        <f t="shared" si="19"/>
        <v>0</v>
      </c>
      <c r="R284" s="97">
        <f t="shared" si="18"/>
        <v>0</v>
      </c>
    </row>
    <row r="285" spans="5:18" x14ac:dyDescent="0.25">
      <c r="G285" s="154"/>
      <c r="Q285" s="96">
        <f t="shared" si="19"/>
        <v>0</v>
      </c>
      <c r="R285" s="97">
        <f t="shared" si="18"/>
        <v>0</v>
      </c>
    </row>
    <row r="286" spans="5:18" x14ac:dyDescent="0.25">
      <c r="G286" s="154"/>
      <c r="Q286" s="96">
        <f t="shared" si="19"/>
        <v>0</v>
      </c>
      <c r="R286" s="97">
        <f t="shared" si="18"/>
        <v>0</v>
      </c>
    </row>
    <row r="287" spans="5:18" x14ac:dyDescent="0.25">
      <c r="G287" s="154"/>
      <c r="Q287" s="96">
        <f t="shared" si="19"/>
        <v>0</v>
      </c>
      <c r="R287" s="97">
        <f t="shared" si="18"/>
        <v>0</v>
      </c>
    </row>
    <row r="288" spans="5:18" x14ac:dyDescent="0.25">
      <c r="G288" s="154"/>
      <c r="Q288" s="96">
        <f t="shared" si="19"/>
        <v>0</v>
      </c>
      <c r="R288" s="97">
        <f t="shared" si="18"/>
        <v>0</v>
      </c>
    </row>
    <row r="289" spans="5:18" x14ac:dyDescent="0.25">
      <c r="E289" s="108"/>
      <c r="F289" s="108"/>
      <c r="G289" s="101"/>
      <c r="H289" s="108"/>
      <c r="Q289" s="96">
        <f t="shared" si="19"/>
        <v>0</v>
      </c>
      <c r="R289" s="97">
        <f t="shared" si="18"/>
        <v>0</v>
      </c>
    </row>
    <row r="290" spans="5:18" x14ac:dyDescent="0.25">
      <c r="E290" s="108"/>
      <c r="F290" s="108"/>
      <c r="G290" s="101"/>
      <c r="H290" s="108"/>
      <c r="Q290" s="96">
        <f t="shared" si="19"/>
        <v>0</v>
      </c>
      <c r="R290" s="97">
        <f t="shared" si="18"/>
        <v>0</v>
      </c>
    </row>
    <row r="291" spans="5:18" x14ac:dyDescent="0.25">
      <c r="G291" s="154"/>
      <c r="Q291" s="96">
        <f t="shared" si="19"/>
        <v>0</v>
      </c>
      <c r="R291" s="97">
        <f t="shared" si="18"/>
        <v>0</v>
      </c>
    </row>
    <row r="292" spans="5:18" x14ac:dyDescent="0.25">
      <c r="G292" s="154"/>
      <c r="Q292" s="96">
        <f t="shared" si="19"/>
        <v>0</v>
      </c>
      <c r="R292" s="97">
        <f t="shared" si="18"/>
        <v>0</v>
      </c>
    </row>
    <row r="293" spans="5:18" x14ac:dyDescent="0.25">
      <c r="E293" s="108"/>
      <c r="F293" s="108"/>
      <c r="G293" s="122"/>
      <c r="H293" s="108"/>
      <c r="Q293" s="96">
        <f t="shared" si="19"/>
        <v>0</v>
      </c>
      <c r="R293" s="97">
        <f t="shared" si="18"/>
        <v>0</v>
      </c>
    </row>
    <row r="294" spans="5:18" x14ac:dyDescent="0.25">
      <c r="G294" s="154"/>
      <c r="Q294" s="96">
        <f t="shared" si="19"/>
        <v>0</v>
      </c>
      <c r="R294" s="97">
        <f t="shared" si="18"/>
        <v>0</v>
      </c>
    </row>
    <row r="295" spans="5:18" x14ac:dyDescent="0.25">
      <c r="E295" s="108"/>
      <c r="F295" s="108"/>
      <c r="G295" s="122"/>
      <c r="H295" s="108"/>
      <c r="Q295" s="96">
        <f t="shared" si="19"/>
        <v>0</v>
      </c>
      <c r="R295" s="97">
        <f t="shared" si="18"/>
        <v>0</v>
      </c>
    </row>
    <row r="296" spans="5:18" x14ac:dyDescent="0.25">
      <c r="G296" s="154"/>
      <c r="Q296" s="96">
        <f t="shared" si="19"/>
        <v>0</v>
      </c>
      <c r="R296" s="97">
        <f t="shared" si="18"/>
        <v>0</v>
      </c>
    </row>
    <row r="297" spans="5:18" x14ac:dyDescent="0.25">
      <c r="E297" s="156"/>
      <c r="F297" s="156"/>
      <c r="G297" s="154"/>
      <c r="H297" s="156"/>
      <c r="Q297" s="96">
        <f t="shared" si="19"/>
        <v>0</v>
      </c>
      <c r="R297" s="97">
        <f t="shared" si="18"/>
        <v>0</v>
      </c>
    </row>
    <row r="298" spans="5:18" x14ac:dyDescent="0.25">
      <c r="E298" s="156"/>
      <c r="F298" s="156"/>
      <c r="G298" s="154"/>
      <c r="H298" s="156"/>
      <c r="Q298" s="96">
        <f t="shared" si="19"/>
        <v>0</v>
      </c>
      <c r="R298" s="97">
        <f t="shared" si="18"/>
        <v>0</v>
      </c>
    </row>
    <row r="299" spans="5:18" x14ac:dyDescent="0.25">
      <c r="G299" s="154"/>
      <c r="Q299" s="96">
        <f t="shared" si="19"/>
        <v>0</v>
      </c>
      <c r="R299" s="97">
        <f t="shared" si="18"/>
        <v>0</v>
      </c>
    </row>
    <row r="300" spans="5:18" x14ac:dyDescent="0.25">
      <c r="G300" s="154"/>
      <c r="Q300" s="96">
        <f t="shared" si="19"/>
        <v>0</v>
      </c>
      <c r="R300" s="97">
        <f t="shared" si="18"/>
        <v>0</v>
      </c>
    </row>
    <row r="301" spans="5:18" x14ac:dyDescent="0.25">
      <c r="G301" s="154"/>
      <c r="Q301" s="96">
        <f t="shared" si="19"/>
        <v>0</v>
      </c>
      <c r="R301" s="97">
        <f t="shared" si="18"/>
        <v>0</v>
      </c>
    </row>
    <row r="302" spans="5:18" x14ac:dyDescent="0.25">
      <c r="G302" s="154"/>
      <c r="Q302" s="96">
        <f t="shared" si="19"/>
        <v>0</v>
      </c>
      <c r="R302" s="97">
        <f t="shared" si="18"/>
        <v>0</v>
      </c>
    </row>
    <row r="303" spans="5:18" x14ac:dyDescent="0.25">
      <c r="G303" s="154"/>
      <c r="Q303" s="96">
        <f t="shared" si="19"/>
        <v>0</v>
      </c>
      <c r="R303" s="97">
        <f t="shared" si="18"/>
        <v>0</v>
      </c>
    </row>
    <row r="304" spans="5:18" x14ac:dyDescent="0.25">
      <c r="G304" s="154"/>
      <c r="Q304" s="96">
        <f t="shared" si="19"/>
        <v>0</v>
      </c>
      <c r="R304" s="97">
        <f t="shared" si="18"/>
        <v>0</v>
      </c>
    </row>
    <row r="305" spans="5:18" x14ac:dyDescent="0.25">
      <c r="G305" s="154"/>
      <c r="Q305" s="96">
        <f t="shared" si="19"/>
        <v>0</v>
      </c>
      <c r="R305" s="97">
        <f t="shared" si="18"/>
        <v>0</v>
      </c>
    </row>
    <row r="306" spans="5:18" x14ac:dyDescent="0.25">
      <c r="G306" s="154"/>
      <c r="Q306" s="96">
        <f t="shared" si="19"/>
        <v>0</v>
      </c>
      <c r="R306" s="97">
        <f t="shared" si="18"/>
        <v>0</v>
      </c>
    </row>
    <row r="307" spans="5:18" x14ac:dyDescent="0.25">
      <c r="G307" s="154"/>
      <c r="Q307" s="96">
        <f t="shared" si="19"/>
        <v>0</v>
      </c>
      <c r="R307" s="97">
        <f t="shared" si="18"/>
        <v>0</v>
      </c>
    </row>
    <row r="308" spans="5:18" x14ac:dyDescent="0.25">
      <c r="G308" s="154"/>
      <c r="Q308" s="96">
        <f t="shared" si="19"/>
        <v>0</v>
      </c>
      <c r="R308" s="97">
        <f t="shared" si="18"/>
        <v>0</v>
      </c>
    </row>
    <row r="309" spans="5:18" x14ac:dyDescent="0.25">
      <c r="G309" s="154"/>
      <c r="Q309" s="96">
        <f t="shared" si="19"/>
        <v>0</v>
      </c>
      <c r="R309" s="97">
        <f t="shared" si="18"/>
        <v>0</v>
      </c>
    </row>
    <row r="310" spans="5:18" x14ac:dyDescent="0.25">
      <c r="G310" s="154"/>
      <c r="Q310" s="96">
        <f t="shared" si="19"/>
        <v>0</v>
      </c>
      <c r="R310" s="97">
        <f t="shared" si="18"/>
        <v>0</v>
      </c>
    </row>
    <row r="311" spans="5:18" x14ac:dyDescent="0.25">
      <c r="G311" s="154"/>
      <c r="Q311" s="96">
        <f t="shared" si="19"/>
        <v>0</v>
      </c>
      <c r="R311" s="97">
        <f t="shared" si="18"/>
        <v>0</v>
      </c>
    </row>
    <row r="312" spans="5:18" x14ac:dyDescent="0.25">
      <c r="G312" s="154"/>
      <c r="Q312" s="96">
        <f t="shared" si="19"/>
        <v>0</v>
      </c>
      <c r="R312" s="97">
        <f t="shared" si="18"/>
        <v>0</v>
      </c>
    </row>
    <row r="313" spans="5:18" x14ac:dyDescent="0.25">
      <c r="E313" s="108"/>
      <c r="F313" s="108"/>
      <c r="G313" s="101"/>
      <c r="H313" s="108"/>
      <c r="Q313" s="96">
        <f t="shared" si="19"/>
        <v>0</v>
      </c>
      <c r="R313" s="97">
        <f t="shared" si="18"/>
        <v>0</v>
      </c>
    </row>
    <row r="314" spans="5:18" x14ac:dyDescent="0.25">
      <c r="G314" s="154"/>
      <c r="Q314" s="96">
        <f t="shared" si="19"/>
        <v>0</v>
      </c>
      <c r="R314" s="97">
        <f t="shared" si="18"/>
        <v>0</v>
      </c>
    </row>
    <row r="315" spans="5:18" x14ac:dyDescent="0.25">
      <c r="G315" s="154"/>
      <c r="Q315" s="96">
        <f t="shared" si="19"/>
        <v>0</v>
      </c>
      <c r="R315" s="97">
        <f t="shared" si="18"/>
        <v>0</v>
      </c>
    </row>
    <row r="316" spans="5:18" x14ac:dyDescent="0.25">
      <c r="G316" s="154"/>
      <c r="Q316" s="96">
        <f t="shared" si="19"/>
        <v>0</v>
      </c>
      <c r="R316" s="97">
        <f t="shared" si="18"/>
        <v>0</v>
      </c>
    </row>
    <row r="317" spans="5:18" x14ac:dyDescent="0.25">
      <c r="G317" s="154"/>
      <c r="Q317" s="96">
        <f t="shared" si="19"/>
        <v>0</v>
      </c>
      <c r="R317" s="97">
        <f t="shared" si="18"/>
        <v>0</v>
      </c>
    </row>
    <row r="318" spans="5:18" x14ac:dyDescent="0.25">
      <c r="G318" s="154"/>
      <c r="Q318" s="96">
        <f t="shared" si="19"/>
        <v>0</v>
      </c>
      <c r="R318" s="97">
        <f t="shared" si="18"/>
        <v>0</v>
      </c>
    </row>
    <row r="319" spans="5:18" x14ac:dyDescent="0.25">
      <c r="G319" s="154"/>
      <c r="Q319" s="96">
        <f t="shared" si="19"/>
        <v>0</v>
      </c>
      <c r="R319" s="97">
        <f t="shared" si="18"/>
        <v>0</v>
      </c>
    </row>
    <row r="320" spans="5:18" x14ac:dyDescent="0.25">
      <c r="G320" s="154"/>
      <c r="Q320" s="96">
        <f t="shared" si="19"/>
        <v>0</v>
      </c>
      <c r="R320" s="97">
        <f t="shared" si="18"/>
        <v>0</v>
      </c>
    </row>
    <row r="321" spans="7:18" x14ac:dyDescent="0.25">
      <c r="G321" s="154"/>
      <c r="Q321" s="96">
        <f t="shared" si="19"/>
        <v>0</v>
      </c>
      <c r="R321" s="97">
        <f t="shared" si="18"/>
        <v>0</v>
      </c>
    </row>
    <row r="322" spans="7:18" x14ac:dyDescent="0.25">
      <c r="G322" s="154"/>
      <c r="Q322" s="96">
        <f t="shared" si="19"/>
        <v>0</v>
      </c>
      <c r="R322" s="97">
        <f t="shared" si="18"/>
        <v>0</v>
      </c>
    </row>
    <row r="323" spans="7:18" x14ac:dyDescent="0.25">
      <c r="Q323" s="96">
        <f t="shared" si="19"/>
        <v>0</v>
      </c>
      <c r="R323" s="97">
        <f t="shared" si="18"/>
        <v>0</v>
      </c>
    </row>
    <row r="324" spans="7:18" x14ac:dyDescent="0.25">
      <c r="G324" s="154"/>
      <c r="Q324" s="96">
        <f t="shared" si="19"/>
        <v>0</v>
      </c>
      <c r="R324" s="97">
        <f t="shared" si="18"/>
        <v>0</v>
      </c>
    </row>
    <row r="325" spans="7:18" x14ac:dyDescent="0.25">
      <c r="Q325" s="96">
        <f t="shared" si="19"/>
        <v>0</v>
      </c>
      <c r="R325" s="97">
        <f t="shared" si="18"/>
        <v>0</v>
      </c>
    </row>
    <row r="326" spans="7:18" x14ac:dyDescent="0.25">
      <c r="Q326" s="96">
        <f t="shared" si="19"/>
        <v>0</v>
      </c>
      <c r="R326" s="97">
        <f t="shared" si="18"/>
        <v>0</v>
      </c>
    </row>
    <row r="327" spans="7:18" x14ac:dyDescent="0.25">
      <c r="Q327" s="96">
        <f t="shared" si="19"/>
        <v>0</v>
      </c>
      <c r="R327" s="97">
        <f t="shared" si="18"/>
        <v>0</v>
      </c>
    </row>
    <row r="328" spans="7:18" x14ac:dyDescent="0.25">
      <c r="Q328" s="96">
        <f t="shared" si="19"/>
        <v>0</v>
      </c>
      <c r="R328" s="97">
        <f t="shared" si="18"/>
        <v>0</v>
      </c>
    </row>
    <row r="329" spans="7:18" x14ac:dyDescent="0.25">
      <c r="Q329" s="96">
        <f t="shared" si="19"/>
        <v>0</v>
      </c>
      <c r="R329" s="97">
        <f t="shared" si="18"/>
        <v>0</v>
      </c>
    </row>
    <row r="330" spans="7:18" x14ac:dyDescent="0.25">
      <c r="Q330" s="96">
        <f t="shared" si="19"/>
        <v>0</v>
      </c>
      <c r="R330" s="97">
        <f t="shared" si="18"/>
        <v>0</v>
      </c>
    </row>
    <row r="331" spans="7:18" x14ac:dyDescent="0.25">
      <c r="Q331" s="96">
        <f t="shared" ref="Q331:Q394" si="20">D331</f>
        <v>0</v>
      </c>
      <c r="R331" s="97">
        <f t="shared" ref="R331:R394" si="21">IF(C331=2012, Q331/3,Q331)+P331</f>
        <v>0</v>
      </c>
    </row>
    <row r="332" spans="7:18" x14ac:dyDescent="0.25">
      <c r="Q332" s="96">
        <f t="shared" si="20"/>
        <v>0</v>
      </c>
      <c r="R332" s="97">
        <f t="shared" si="21"/>
        <v>0</v>
      </c>
    </row>
    <row r="333" spans="7:18" x14ac:dyDescent="0.25">
      <c r="Q333" s="96">
        <f t="shared" si="20"/>
        <v>0</v>
      </c>
      <c r="R333" s="97">
        <f t="shared" si="21"/>
        <v>0</v>
      </c>
    </row>
    <row r="334" spans="7:18" x14ac:dyDescent="0.25">
      <c r="Q334" s="96">
        <f t="shared" si="20"/>
        <v>0</v>
      </c>
      <c r="R334" s="97">
        <f t="shared" si="21"/>
        <v>0</v>
      </c>
    </row>
    <row r="335" spans="7:18" x14ac:dyDescent="0.25">
      <c r="Q335" s="96">
        <f t="shared" si="20"/>
        <v>0</v>
      </c>
      <c r="R335" s="97">
        <f t="shared" si="21"/>
        <v>0</v>
      </c>
    </row>
    <row r="336" spans="7:18" x14ac:dyDescent="0.25">
      <c r="Q336" s="96">
        <f t="shared" si="20"/>
        <v>0</v>
      </c>
      <c r="R336" s="97">
        <f t="shared" si="21"/>
        <v>0</v>
      </c>
    </row>
    <row r="337" spans="17:18" x14ac:dyDescent="0.25">
      <c r="Q337" s="96">
        <f t="shared" si="20"/>
        <v>0</v>
      </c>
      <c r="R337" s="97">
        <f t="shared" si="21"/>
        <v>0</v>
      </c>
    </row>
    <row r="338" spans="17:18" x14ac:dyDescent="0.25">
      <c r="Q338" s="96">
        <f t="shared" si="20"/>
        <v>0</v>
      </c>
      <c r="R338" s="97">
        <f t="shared" si="21"/>
        <v>0</v>
      </c>
    </row>
    <row r="339" spans="17:18" x14ac:dyDescent="0.25">
      <c r="Q339" s="96">
        <f t="shared" si="20"/>
        <v>0</v>
      </c>
      <c r="R339" s="97">
        <f t="shared" si="21"/>
        <v>0</v>
      </c>
    </row>
    <row r="340" spans="17:18" x14ac:dyDescent="0.25">
      <c r="Q340" s="96">
        <f t="shared" si="20"/>
        <v>0</v>
      </c>
      <c r="R340" s="97">
        <f t="shared" si="21"/>
        <v>0</v>
      </c>
    </row>
    <row r="341" spans="17:18" x14ac:dyDescent="0.25">
      <c r="Q341" s="96">
        <f t="shared" si="20"/>
        <v>0</v>
      </c>
      <c r="R341" s="97">
        <f t="shared" si="21"/>
        <v>0</v>
      </c>
    </row>
    <row r="342" spans="17:18" x14ac:dyDescent="0.25">
      <c r="Q342" s="96">
        <f t="shared" si="20"/>
        <v>0</v>
      </c>
      <c r="R342" s="97">
        <f t="shared" si="21"/>
        <v>0</v>
      </c>
    </row>
    <row r="343" spans="17:18" x14ac:dyDescent="0.25">
      <c r="Q343" s="96">
        <f t="shared" si="20"/>
        <v>0</v>
      </c>
      <c r="R343" s="97">
        <f t="shared" si="21"/>
        <v>0</v>
      </c>
    </row>
    <row r="344" spans="17:18" x14ac:dyDescent="0.25">
      <c r="Q344" s="96">
        <f t="shared" si="20"/>
        <v>0</v>
      </c>
      <c r="R344" s="97">
        <f t="shared" si="21"/>
        <v>0</v>
      </c>
    </row>
    <row r="345" spans="17:18" x14ac:dyDescent="0.25">
      <c r="Q345" s="96">
        <f t="shared" si="20"/>
        <v>0</v>
      </c>
      <c r="R345" s="97">
        <f t="shared" si="21"/>
        <v>0</v>
      </c>
    </row>
    <row r="346" spans="17:18" x14ac:dyDescent="0.25">
      <c r="Q346" s="96">
        <f t="shared" si="20"/>
        <v>0</v>
      </c>
      <c r="R346" s="97">
        <f t="shared" si="21"/>
        <v>0</v>
      </c>
    </row>
    <row r="347" spans="17:18" x14ac:dyDescent="0.25">
      <c r="Q347" s="96">
        <f t="shared" si="20"/>
        <v>0</v>
      </c>
      <c r="R347" s="97">
        <f t="shared" si="21"/>
        <v>0</v>
      </c>
    </row>
    <row r="348" spans="17:18" x14ac:dyDescent="0.25">
      <c r="Q348" s="96">
        <f t="shared" si="20"/>
        <v>0</v>
      </c>
      <c r="R348" s="97">
        <f t="shared" si="21"/>
        <v>0</v>
      </c>
    </row>
    <row r="349" spans="17:18" x14ac:dyDescent="0.25">
      <c r="Q349" s="96">
        <f t="shared" si="20"/>
        <v>0</v>
      </c>
      <c r="R349" s="97">
        <f t="shared" si="21"/>
        <v>0</v>
      </c>
    </row>
    <row r="350" spans="17:18" x14ac:dyDescent="0.25">
      <c r="Q350" s="96">
        <f t="shared" si="20"/>
        <v>0</v>
      </c>
      <c r="R350" s="97">
        <f t="shared" si="21"/>
        <v>0</v>
      </c>
    </row>
    <row r="351" spans="17:18" x14ac:dyDescent="0.25">
      <c r="Q351" s="96">
        <f t="shared" si="20"/>
        <v>0</v>
      </c>
      <c r="R351" s="97">
        <f t="shared" si="21"/>
        <v>0</v>
      </c>
    </row>
    <row r="352" spans="17:18" x14ac:dyDescent="0.25">
      <c r="Q352" s="96">
        <f t="shared" si="20"/>
        <v>0</v>
      </c>
      <c r="R352" s="97">
        <f t="shared" si="21"/>
        <v>0</v>
      </c>
    </row>
    <row r="353" spans="17:18" x14ac:dyDescent="0.25">
      <c r="Q353" s="96">
        <f t="shared" si="20"/>
        <v>0</v>
      </c>
      <c r="R353" s="97">
        <f t="shared" si="21"/>
        <v>0</v>
      </c>
    </row>
    <row r="354" spans="17:18" x14ac:dyDescent="0.25">
      <c r="Q354" s="96">
        <f t="shared" si="20"/>
        <v>0</v>
      </c>
      <c r="R354" s="97">
        <f t="shared" si="21"/>
        <v>0</v>
      </c>
    </row>
    <row r="355" spans="17:18" x14ac:dyDescent="0.25">
      <c r="Q355" s="96">
        <f t="shared" si="20"/>
        <v>0</v>
      </c>
      <c r="R355" s="97">
        <f t="shared" si="21"/>
        <v>0</v>
      </c>
    </row>
    <row r="356" spans="17:18" x14ac:dyDescent="0.25">
      <c r="Q356" s="96">
        <f t="shared" si="20"/>
        <v>0</v>
      </c>
      <c r="R356" s="97">
        <f t="shared" si="21"/>
        <v>0</v>
      </c>
    </row>
    <row r="357" spans="17:18" x14ac:dyDescent="0.25">
      <c r="Q357" s="96">
        <f t="shared" si="20"/>
        <v>0</v>
      </c>
      <c r="R357" s="97">
        <f t="shared" si="21"/>
        <v>0</v>
      </c>
    </row>
    <row r="358" spans="17:18" x14ac:dyDescent="0.25">
      <c r="Q358" s="96">
        <f t="shared" si="20"/>
        <v>0</v>
      </c>
      <c r="R358" s="97">
        <f t="shared" si="21"/>
        <v>0</v>
      </c>
    </row>
    <row r="359" spans="17:18" x14ac:dyDescent="0.25">
      <c r="Q359" s="96">
        <f t="shared" si="20"/>
        <v>0</v>
      </c>
      <c r="R359" s="97">
        <f t="shared" si="21"/>
        <v>0</v>
      </c>
    </row>
    <row r="360" spans="17:18" x14ac:dyDescent="0.25">
      <c r="Q360" s="96">
        <f t="shared" si="20"/>
        <v>0</v>
      </c>
      <c r="R360" s="97">
        <f t="shared" si="21"/>
        <v>0</v>
      </c>
    </row>
    <row r="361" spans="17:18" x14ac:dyDescent="0.25">
      <c r="Q361" s="96">
        <f t="shared" si="20"/>
        <v>0</v>
      </c>
      <c r="R361" s="97">
        <f t="shared" si="21"/>
        <v>0</v>
      </c>
    </row>
    <row r="362" spans="17:18" x14ac:dyDescent="0.25">
      <c r="Q362" s="96">
        <f t="shared" si="20"/>
        <v>0</v>
      </c>
      <c r="R362" s="97">
        <f t="shared" si="21"/>
        <v>0</v>
      </c>
    </row>
    <row r="363" spans="17:18" x14ac:dyDescent="0.25">
      <c r="Q363" s="96">
        <f t="shared" si="20"/>
        <v>0</v>
      </c>
      <c r="R363" s="97">
        <f t="shared" si="21"/>
        <v>0</v>
      </c>
    </row>
    <row r="364" spans="17:18" x14ac:dyDescent="0.25">
      <c r="Q364" s="96">
        <f t="shared" si="20"/>
        <v>0</v>
      </c>
      <c r="R364" s="97">
        <f t="shared" si="21"/>
        <v>0</v>
      </c>
    </row>
    <row r="365" spans="17:18" x14ac:dyDescent="0.25">
      <c r="Q365" s="96">
        <f t="shared" si="20"/>
        <v>0</v>
      </c>
      <c r="R365" s="97">
        <f t="shared" si="21"/>
        <v>0</v>
      </c>
    </row>
    <row r="366" spans="17:18" x14ac:dyDescent="0.25">
      <c r="Q366" s="96">
        <f t="shared" si="20"/>
        <v>0</v>
      </c>
      <c r="R366" s="97">
        <f t="shared" si="21"/>
        <v>0</v>
      </c>
    </row>
    <row r="367" spans="17:18" x14ac:dyDescent="0.25">
      <c r="Q367" s="96">
        <f t="shared" si="20"/>
        <v>0</v>
      </c>
      <c r="R367" s="97">
        <f t="shared" si="21"/>
        <v>0</v>
      </c>
    </row>
    <row r="368" spans="17:18" x14ac:dyDescent="0.25">
      <c r="Q368" s="96">
        <f t="shared" si="20"/>
        <v>0</v>
      </c>
      <c r="R368" s="97">
        <f t="shared" si="21"/>
        <v>0</v>
      </c>
    </row>
    <row r="369" spans="17:18" x14ac:dyDescent="0.25">
      <c r="Q369" s="96">
        <f t="shared" si="20"/>
        <v>0</v>
      </c>
      <c r="R369" s="97">
        <f t="shared" si="21"/>
        <v>0</v>
      </c>
    </row>
    <row r="370" spans="17:18" x14ac:dyDescent="0.25">
      <c r="Q370" s="96">
        <f t="shared" si="20"/>
        <v>0</v>
      </c>
      <c r="R370" s="97">
        <f t="shared" si="21"/>
        <v>0</v>
      </c>
    </row>
    <row r="371" spans="17:18" x14ac:dyDescent="0.25">
      <c r="Q371" s="96">
        <f t="shared" si="20"/>
        <v>0</v>
      </c>
      <c r="R371" s="97">
        <f t="shared" si="21"/>
        <v>0</v>
      </c>
    </row>
    <row r="372" spans="17:18" x14ac:dyDescent="0.25">
      <c r="Q372" s="96">
        <f t="shared" si="20"/>
        <v>0</v>
      </c>
      <c r="R372" s="97">
        <f t="shared" si="21"/>
        <v>0</v>
      </c>
    </row>
    <row r="373" spans="17:18" x14ac:dyDescent="0.25">
      <c r="Q373" s="96">
        <f t="shared" si="20"/>
        <v>0</v>
      </c>
      <c r="R373" s="97">
        <f t="shared" si="21"/>
        <v>0</v>
      </c>
    </row>
    <row r="374" spans="17:18" x14ac:dyDescent="0.25">
      <c r="Q374" s="96">
        <f t="shared" si="20"/>
        <v>0</v>
      </c>
      <c r="R374" s="97">
        <f t="shared" si="21"/>
        <v>0</v>
      </c>
    </row>
    <row r="375" spans="17:18" x14ac:dyDescent="0.25">
      <c r="Q375" s="96">
        <f t="shared" si="20"/>
        <v>0</v>
      </c>
      <c r="R375" s="97">
        <f t="shared" si="21"/>
        <v>0</v>
      </c>
    </row>
    <row r="376" spans="17:18" x14ac:dyDescent="0.25">
      <c r="Q376" s="96">
        <f t="shared" si="20"/>
        <v>0</v>
      </c>
      <c r="R376" s="97">
        <f t="shared" si="21"/>
        <v>0</v>
      </c>
    </row>
    <row r="377" spans="17:18" x14ac:dyDescent="0.25">
      <c r="Q377" s="96">
        <f t="shared" si="20"/>
        <v>0</v>
      </c>
      <c r="R377" s="97">
        <f t="shared" si="21"/>
        <v>0</v>
      </c>
    </row>
    <row r="378" spans="17:18" x14ac:dyDescent="0.25">
      <c r="Q378" s="96">
        <f t="shared" si="20"/>
        <v>0</v>
      </c>
      <c r="R378" s="97">
        <f t="shared" si="21"/>
        <v>0</v>
      </c>
    </row>
    <row r="379" spans="17:18" x14ac:dyDescent="0.25">
      <c r="Q379" s="96">
        <f t="shared" si="20"/>
        <v>0</v>
      </c>
      <c r="R379" s="97">
        <f t="shared" si="21"/>
        <v>0</v>
      </c>
    </row>
    <row r="380" spans="17:18" x14ac:dyDescent="0.25">
      <c r="Q380" s="96">
        <f t="shared" si="20"/>
        <v>0</v>
      </c>
      <c r="R380" s="97">
        <f t="shared" si="21"/>
        <v>0</v>
      </c>
    </row>
    <row r="381" spans="17:18" x14ac:dyDescent="0.25">
      <c r="Q381" s="96">
        <f t="shared" si="20"/>
        <v>0</v>
      </c>
      <c r="R381" s="97">
        <f t="shared" si="21"/>
        <v>0</v>
      </c>
    </row>
    <row r="382" spans="17:18" x14ac:dyDescent="0.25">
      <c r="Q382" s="96">
        <f t="shared" si="20"/>
        <v>0</v>
      </c>
      <c r="R382" s="97">
        <f t="shared" si="21"/>
        <v>0</v>
      </c>
    </row>
    <row r="383" spans="17:18" x14ac:dyDescent="0.25">
      <c r="Q383" s="96">
        <f t="shared" si="20"/>
        <v>0</v>
      </c>
      <c r="R383" s="97">
        <f t="shared" si="21"/>
        <v>0</v>
      </c>
    </row>
    <row r="384" spans="17:18" x14ac:dyDescent="0.25">
      <c r="Q384" s="96">
        <f t="shared" si="20"/>
        <v>0</v>
      </c>
      <c r="R384" s="97">
        <f t="shared" si="21"/>
        <v>0</v>
      </c>
    </row>
    <row r="385" spans="17:18" x14ac:dyDescent="0.25">
      <c r="Q385" s="96">
        <f t="shared" si="20"/>
        <v>0</v>
      </c>
      <c r="R385" s="97">
        <f t="shared" si="21"/>
        <v>0</v>
      </c>
    </row>
    <row r="386" spans="17:18" x14ac:dyDescent="0.25">
      <c r="Q386" s="96">
        <f t="shared" si="20"/>
        <v>0</v>
      </c>
      <c r="R386" s="97">
        <f t="shared" si="21"/>
        <v>0</v>
      </c>
    </row>
    <row r="387" spans="17:18" x14ac:dyDescent="0.25">
      <c r="Q387" s="96">
        <f t="shared" si="20"/>
        <v>0</v>
      </c>
      <c r="R387" s="97">
        <f t="shared" si="21"/>
        <v>0</v>
      </c>
    </row>
    <row r="388" spans="17:18" x14ac:dyDescent="0.25">
      <c r="Q388" s="96">
        <f t="shared" si="20"/>
        <v>0</v>
      </c>
      <c r="R388" s="97">
        <f t="shared" si="21"/>
        <v>0</v>
      </c>
    </row>
    <row r="389" spans="17:18" x14ac:dyDescent="0.25">
      <c r="Q389" s="96">
        <f t="shared" si="20"/>
        <v>0</v>
      </c>
      <c r="R389" s="97">
        <f t="shared" si="21"/>
        <v>0</v>
      </c>
    </row>
    <row r="390" spans="17:18" x14ac:dyDescent="0.25">
      <c r="Q390" s="96">
        <f t="shared" si="20"/>
        <v>0</v>
      </c>
      <c r="R390" s="97">
        <f t="shared" si="21"/>
        <v>0</v>
      </c>
    </row>
    <row r="391" spans="17:18" x14ac:dyDescent="0.25">
      <c r="Q391" s="96">
        <f t="shared" si="20"/>
        <v>0</v>
      </c>
      <c r="R391" s="97">
        <f t="shared" si="21"/>
        <v>0</v>
      </c>
    </row>
    <row r="392" spans="17:18" x14ac:dyDescent="0.25">
      <c r="Q392" s="96">
        <f t="shared" si="20"/>
        <v>0</v>
      </c>
      <c r="R392" s="97">
        <f t="shared" si="21"/>
        <v>0</v>
      </c>
    </row>
    <row r="393" spans="17:18" x14ac:dyDescent="0.25">
      <c r="Q393" s="96">
        <f t="shared" si="20"/>
        <v>0</v>
      </c>
      <c r="R393" s="97">
        <f t="shared" si="21"/>
        <v>0</v>
      </c>
    </row>
    <row r="394" spans="17:18" x14ac:dyDescent="0.25">
      <c r="Q394" s="96">
        <f t="shared" si="20"/>
        <v>0</v>
      </c>
      <c r="R394" s="97">
        <f t="shared" si="21"/>
        <v>0</v>
      </c>
    </row>
    <row r="395" spans="17:18" x14ac:dyDescent="0.25">
      <c r="Q395" s="96">
        <f t="shared" ref="Q395:Q425" si="22">D395</f>
        <v>0</v>
      </c>
      <c r="R395" s="97">
        <f t="shared" ref="R395:R425" si="23">IF(C395=2012, Q395/3,Q395)+P395</f>
        <v>0</v>
      </c>
    </row>
    <row r="396" spans="17:18" x14ac:dyDescent="0.25">
      <c r="Q396" s="96">
        <f t="shared" si="22"/>
        <v>0</v>
      </c>
      <c r="R396" s="97">
        <f t="shared" si="23"/>
        <v>0</v>
      </c>
    </row>
    <row r="397" spans="17:18" x14ac:dyDescent="0.25">
      <c r="Q397" s="96">
        <f t="shared" si="22"/>
        <v>0</v>
      </c>
      <c r="R397" s="97">
        <f t="shared" si="23"/>
        <v>0</v>
      </c>
    </row>
    <row r="398" spans="17:18" x14ac:dyDescent="0.25">
      <c r="Q398" s="96">
        <f t="shared" si="22"/>
        <v>0</v>
      </c>
      <c r="R398" s="97">
        <f t="shared" si="23"/>
        <v>0</v>
      </c>
    </row>
    <row r="399" spans="17:18" x14ac:dyDescent="0.25">
      <c r="Q399" s="96">
        <f t="shared" si="22"/>
        <v>0</v>
      </c>
      <c r="R399" s="97">
        <f t="shared" si="23"/>
        <v>0</v>
      </c>
    </row>
    <row r="400" spans="17:18" x14ac:dyDescent="0.25">
      <c r="Q400" s="96">
        <f t="shared" si="22"/>
        <v>0</v>
      </c>
      <c r="R400" s="97">
        <f t="shared" si="23"/>
        <v>0</v>
      </c>
    </row>
    <row r="401" spans="17:18" x14ac:dyDescent="0.25">
      <c r="Q401" s="96">
        <f t="shared" si="22"/>
        <v>0</v>
      </c>
      <c r="R401" s="97">
        <f t="shared" si="23"/>
        <v>0</v>
      </c>
    </row>
    <row r="402" spans="17:18" x14ac:dyDescent="0.25">
      <c r="Q402" s="96">
        <f t="shared" si="22"/>
        <v>0</v>
      </c>
      <c r="R402" s="97">
        <f t="shared" si="23"/>
        <v>0</v>
      </c>
    </row>
    <row r="403" spans="17:18" x14ac:dyDescent="0.25">
      <c r="Q403" s="96">
        <f t="shared" si="22"/>
        <v>0</v>
      </c>
      <c r="R403" s="97">
        <f t="shared" si="23"/>
        <v>0</v>
      </c>
    </row>
    <row r="404" spans="17:18" x14ac:dyDescent="0.25">
      <c r="Q404" s="96">
        <f t="shared" si="22"/>
        <v>0</v>
      </c>
      <c r="R404" s="97">
        <f t="shared" si="23"/>
        <v>0</v>
      </c>
    </row>
    <row r="405" spans="17:18" x14ac:dyDescent="0.25">
      <c r="Q405" s="96">
        <f t="shared" si="22"/>
        <v>0</v>
      </c>
      <c r="R405" s="97">
        <f t="shared" si="23"/>
        <v>0</v>
      </c>
    </row>
    <row r="406" spans="17:18" x14ac:dyDescent="0.25">
      <c r="Q406" s="96">
        <f t="shared" si="22"/>
        <v>0</v>
      </c>
      <c r="R406" s="97">
        <f t="shared" si="23"/>
        <v>0</v>
      </c>
    </row>
    <row r="407" spans="17:18" x14ac:dyDescent="0.25">
      <c r="Q407" s="96">
        <f t="shared" si="22"/>
        <v>0</v>
      </c>
      <c r="R407" s="97">
        <f t="shared" si="23"/>
        <v>0</v>
      </c>
    </row>
    <row r="408" spans="17:18" x14ac:dyDescent="0.25">
      <c r="Q408" s="96">
        <f t="shared" si="22"/>
        <v>0</v>
      </c>
      <c r="R408" s="97">
        <f t="shared" si="23"/>
        <v>0</v>
      </c>
    </row>
    <row r="409" spans="17:18" x14ac:dyDescent="0.25">
      <c r="Q409" s="96">
        <f t="shared" si="22"/>
        <v>0</v>
      </c>
      <c r="R409" s="97">
        <f t="shared" si="23"/>
        <v>0</v>
      </c>
    </row>
    <row r="410" spans="17:18" x14ac:dyDescent="0.25">
      <c r="Q410" s="96">
        <f t="shared" si="22"/>
        <v>0</v>
      </c>
      <c r="R410" s="97">
        <f t="shared" si="23"/>
        <v>0</v>
      </c>
    </row>
    <row r="411" spans="17:18" x14ac:dyDescent="0.25">
      <c r="Q411" s="96">
        <f t="shared" si="22"/>
        <v>0</v>
      </c>
      <c r="R411" s="97">
        <f t="shared" si="23"/>
        <v>0</v>
      </c>
    </row>
    <row r="412" spans="17:18" x14ac:dyDescent="0.25">
      <c r="Q412" s="96">
        <f t="shared" si="22"/>
        <v>0</v>
      </c>
      <c r="R412" s="97">
        <f t="shared" si="23"/>
        <v>0</v>
      </c>
    </row>
    <row r="413" spans="17:18" x14ac:dyDescent="0.25">
      <c r="Q413" s="96">
        <f t="shared" si="22"/>
        <v>0</v>
      </c>
      <c r="R413" s="97">
        <f t="shared" si="23"/>
        <v>0</v>
      </c>
    </row>
    <row r="414" spans="17:18" x14ac:dyDescent="0.25">
      <c r="Q414" s="96">
        <f t="shared" si="22"/>
        <v>0</v>
      </c>
      <c r="R414" s="97">
        <f t="shared" si="23"/>
        <v>0</v>
      </c>
    </row>
    <row r="415" spans="17:18" x14ac:dyDescent="0.25">
      <c r="Q415" s="96">
        <f t="shared" si="22"/>
        <v>0</v>
      </c>
      <c r="R415" s="97">
        <f t="shared" si="23"/>
        <v>0</v>
      </c>
    </row>
    <row r="416" spans="17:18" x14ac:dyDescent="0.25">
      <c r="Q416" s="96">
        <f t="shared" si="22"/>
        <v>0</v>
      </c>
      <c r="R416" s="97">
        <f t="shared" si="23"/>
        <v>0</v>
      </c>
    </row>
    <row r="417" spans="17:18" x14ac:dyDescent="0.25">
      <c r="Q417" s="96">
        <f t="shared" si="22"/>
        <v>0</v>
      </c>
      <c r="R417" s="97">
        <f t="shared" si="23"/>
        <v>0</v>
      </c>
    </row>
    <row r="418" spans="17:18" x14ac:dyDescent="0.25">
      <c r="Q418" s="96">
        <f t="shared" si="22"/>
        <v>0</v>
      </c>
      <c r="R418" s="97">
        <f t="shared" si="23"/>
        <v>0</v>
      </c>
    </row>
    <row r="419" spans="17:18" x14ac:dyDescent="0.25">
      <c r="Q419" s="96">
        <f t="shared" si="22"/>
        <v>0</v>
      </c>
      <c r="R419" s="97">
        <f t="shared" si="23"/>
        <v>0</v>
      </c>
    </row>
    <row r="420" spans="17:18" x14ac:dyDescent="0.25">
      <c r="Q420" s="96">
        <f t="shared" si="22"/>
        <v>0</v>
      </c>
      <c r="R420" s="97">
        <f t="shared" si="23"/>
        <v>0</v>
      </c>
    </row>
    <row r="421" spans="17:18" x14ac:dyDescent="0.25">
      <c r="Q421" s="96">
        <f t="shared" si="22"/>
        <v>0</v>
      </c>
      <c r="R421" s="97">
        <f t="shared" si="23"/>
        <v>0</v>
      </c>
    </row>
    <row r="422" spans="17:18" x14ac:dyDescent="0.25">
      <c r="Q422" s="96">
        <f t="shared" si="22"/>
        <v>0</v>
      </c>
      <c r="R422" s="97">
        <f t="shared" si="23"/>
        <v>0</v>
      </c>
    </row>
    <row r="423" spans="17:18" x14ac:dyDescent="0.25">
      <c r="Q423" s="96">
        <f t="shared" si="22"/>
        <v>0</v>
      </c>
      <c r="R423" s="97">
        <f t="shared" si="23"/>
        <v>0</v>
      </c>
    </row>
    <row r="424" spans="17:18" x14ac:dyDescent="0.25">
      <c r="Q424" s="96">
        <f t="shared" si="22"/>
        <v>0</v>
      </c>
      <c r="R424" s="97">
        <f t="shared" si="23"/>
        <v>0</v>
      </c>
    </row>
    <row r="425" spans="17:18" x14ac:dyDescent="0.25">
      <c r="Q425" s="96">
        <f t="shared" si="22"/>
        <v>0</v>
      </c>
      <c r="R425" s="97">
        <f t="shared" si="23"/>
        <v>0</v>
      </c>
    </row>
  </sheetData>
  <autoFilter ref="B1:B202" xr:uid="{00000000-0001-0000-0500-000000000000}"/>
  <sortState xmlns:xlrd2="http://schemas.microsoft.com/office/spreadsheetml/2017/richdata2" ref="A22:BE201">
    <sortCondition ref="A201"/>
  </sortState>
  <mergeCells count="6">
    <mergeCell ref="A202:C202"/>
    <mergeCell ref="A5:C5"/>
    <mergeCell ref="A21:C21"/>
    <mergeCell ref="A1:C2"/>
    <mergeCell ref="AC3:AD3"/>
    <mergeCell ref="M3:N3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420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B24" sqref="B24"/>
    </sheetView>
  </sheetViews>
  <sheetFormatPr defaultRowHeight="15" x14ac:dyDescent="0.25"/>
  <cols>
    <col min="1" max="1" width="19.7109375" style="11" bestFit="1" customWidth="1"/>
    <col min="2" max="2" width="20.28515625" style="3" bestFit="1" customWidth="1"/>
    <col min="3" max="3" width="8.140625" style="3" bestFit="1" customWidth="1"/>
    <col min="4" max="4" width="12" style="7" customWidth="1"/>
    <col min="5" max="5" width="12.28515625" style="219" customWidth="1"/>
    <col min="6" max="6" width="11" style="219" customWidth="1"/>
    <col min="7" max="7" width="2.85546875" style="219" customWidth="1"/>
    <col min="8" max="14" width="13.28515625" style="13" customWidth="1"/>
    <col min="15" max="15" width="10.85546875" style="13" customWidth="1"/>
    <col min="16" max="17" width="9.140625" style="3"/>
    <col min="18" max="18" width="3.42578125" style="13" customWidth="1"/>
    <col min="19" max="19" width="13.28515625" style="13" customWidth="1"/>
    <col min="20" max="24" width="10.85546875" style="13" customWidth="1"/>
    <col min="25" max="25" width="8.85546875" style="13" customWidth="1"/>
    <col min="26" max="26" width="8.42578125" style="13" customWidth="1"/>
    <col min="27" max="27" width="3.42578125" style="13" customWidth="1"/>
    <col min="28" max="28" width="8.85546875" style="13" customWidth="1"/>
    <col min="29" max="31" width="11.140625" style="13" customWidth="1"/>
    <col min="32" max="32" width="13.5703125" style="13" customWidth="1"/>
    <col min="33" max="33" width="11.140625" style="13" customWidth="1"/>
    <col min="34" max="34" width="8.85546875" style="13" customWidth="1"/>
    <col min="35" max="35" width="10.7109375" style="13" customWidth="1"/>
    <col min="36" max="36" width="8.85546875" style="13" customWidth="1"/>
    <col min="37" max="37" width="8.42578125" style="13" customWidth="1"/>
    <col min="38" max="38" width="12" style="3" customWidth="1"/>
    <col min="39" max="16384" width="9.140625" style="3"/>
  </cols>
  <sheetData>
    <row r="1" spans="1:37" ht="15" customHeight="1" x14ac:dyDescent="0.5">
      <c r="A1" s="244" t="s">
        <v>31</v>
      </c>
      <c r="B1" s="245"/>
      <c r="C1" s="245"/>
      <c r="D1" s="55"/>
      <c r="E1" s="102"/>
      <c r="F1" s="102"/>
      <c r="G1" s="102"/>
      <c r="H1" s="56"/>
      <c r="I1" s="56"/>
      <c r="J1" s="56"/>
      <c r="K1" s="56"/>
      <c r="L1" s="56"/>
      <c r="M1" s="56"/>
      <c r="N1" s="56"/>
      <c r="O1" s="56"/>
      <c r="R1" s="56"/>
      <c r="S1" s="56"/>
      <c r="T1" s="56"/>
      <c r="U1" s="56"/>
      <c r="V1" s="56"/>
      <c r="W1" s="56"/>
      <c r="X1" s="56"/>
      <c r="Y1" s="55"/>
      <c r="Z1" s="30"/>
      <c r="AA1" s="56"/>
      <c r="AB1" s="56"/>
      <c r="AC1" s="56"/>
      <c r="AD1" s="56"/>
      <c r="AE1" s="56"/>
      <c r="AF1" s="56"/>
      <c r="AG1" s="56"/>
      <c r="AH1" s="56"/>
      <c r="AI1" s="55"/>
      <c r="AJ1" s="55"/>
      <c r="AK1" s="30"/>
    </row>
    <row r="2" spans="1:37" ht="15" customHeight="1" x14ac:dyDescent="0.5">
      <c r="A2" s="246"/>
      <c r="B2" s="247"/>
      <c r="C2" s="247"/>
      <c r="D2" s="55"/>
      <c r="E2" s="103"/>
      <c r="F2" s="103"/>
      <c r="G2" s="103"/>
      <c r="H2" s="56"/>
      <c r="I2" s="56"/>
      <c r="J2" s="56"/>
      <c r="K2" s="56"/>
      <c r="L2" s="56"/>
      <c r="M2" s="56"/>
      <c r="N2" s="56"/>
      <c r="O2" s="56"/>
      <c r="R2" s="56"/>
      <c r="S2" s="56"/>
      <c r="T2" s="56"/>
      <c r="U2" s="56"/>
      <c r="V2" s="56"/>
      <c r="W2" s="56"/>
      <c r="X2" s="56"/>
      <c r="Y2" s="55"/>
      <c r="Z2" s="31"/>
      <c r="AA2" s="56"/>
      <c r="AB2" s="56"/>
      <c r="AC2" s="56"/>
      <c r="AD2" s="56"/>
      <c r="AE2" s="56"/>
      <c r="AF2" s="56"/>
      <c r="AG2" s="56"/>
      <c r="AH2" s="56"/>
      <c r="AI2" s="55"/>
      <c r="AJ2" s="55"/>
      <c r="AK2" s="31"/>
    </row>
    <row r="3" spans="1:37" s="5" customFormat="1" x14ac:dyDescent="0.25">
      <c r="A3" s="10"/>
      <c r="D3" s="14"/>
      <c r="E3" s="36">
        <v>2025</v>
      </c>
      <c r="F3" s="219"/>
      <c r="G3" s="36"/>
      <c r="H3" s="209"/>
      <c r="I3" s="200"/>
      <c r="J3" s="288">
        <v>2024</v>
      </c>
      <c r="K3" s="289"/>
      <c r="L3" s="289"/>
      <c r="M3" s="290"/>
      <c r="N3" s="223"/>
      <c r="O3" s="33"/>
      <c r="P3" s="6"/>
      <c r="Q3" s="6"/>
      <c r="R3" s="33"/>
      <c r="S3" s="33"/>
      <c r="T3" s="33"/>
      <c r="U3" s="33"/>
      <c r="V3" s="33">
        <v>2023</v>
      </c>
      <c r="W3" s="33"/>
      <c r="X3" s="33"/>
      <c r="Y3" s="33"/>
      <c r="Z3" s="33"/>
      <c r="AA3" s="33"/>
      <c r="AB3" s="256">
        <v>2022</v>
      </c>
      <c r="AC3" s="258"/>
      <c r="AD3" s="75"/>
      <c r="AE3" s="75"/>
      <c r="AF3" s="75"/>
      <c r="AG3" s="75"/>
      <c r="AH3" s="33"/>
      <c r="AI3" s="32"/>
      <c r="AJ3" s="32"/>
      <c r="AK3" s="32"/>
    </row>
    <row r="4" spans="1:37" s="5" customFormat="1" ht="107.25" customHeight="1" x14ac:dyDescent="0.25">
      <c r="A4" s="5" t="s">
        <v>1</v>
      </c>
      <c r="B4" s="5" t="s">
        <v>2</v>
      </c>
      <c r="C4" s="5" t="s">
        <v>3</v>
      </c>
      <c r="D4" s="49" t="s">
        <v>1091</v>
      </c>
      <c r="E4" s="231" t="s">
        <v>4</v>
      </c>
      <c r="F4" s="119" t="s">
        <v>5</v>
      </c>
      <c r="G4" s="231"/>
      <c r="H4" s="210" t="s">
        <v>463</v>
      </c>
      <c r="I4" s="201" t="s">
        <v>392</v>
      </c>
      <c r="J4" s="175" t="s">
        <v>228</v>
      </c>
      <c r="K4" s="175" t="s">
        <v>879</v>
      </c>
      <c r="L4" s="149" t="s">
        <v>292</v>
      </c>
      <c r="M4" s="149" t="s">
        <v>4</v>
      </c>
      <c r="N4" s="226" t="s">
        <v>546</v>
      </c>
      <c r="O4" s="95" t="s">
        <v>5</v>
      </c>
      <c r="P4" s="96" t="s">
        <v>1073</v>
      </c>
      <c r="Q4" s="97" t="s">
        <v>544</v>
      </c>
      <c r="R4" s="142"/>
      <c r="S4" s="139" t="s">
        <v>392</v>
      </c>
      <c r="T4" s="105" t="s">
        <v>228</v>
      </c>
      <c r="U4" s="105" t="s">
        <v>292</v>
      </c>
      <c r="V4" s="105" t="s">
        <v>4</v>
      </c>
      <c r="W4" s="105" t="s">
        <v>546</v>
      </c>
      <c r="X4" s="95" t="s">
        <v>5</v>
      </c>
      <c r="Y4" s="96" t="s">
        <v>543</v>
      </c>
      <c r="Z4" s="97" t="s">
        <v>544</v>
      </c>
      <c r="AA4" s="42"/>
      <c r="AB4" s="44" t="s">
        <v>4</v>
      </c>
      <c r="AC4" s="59" t="s">
        <v>62</v>
      </c>
      <c r="AD4" s="73" t="s">
        <v>228</v>
      </c>
      <c r="AE4" s="79" t="s">
        <v>292</v>
      </c>
      <c r="AF4" s="111" t="s">
        <v>392</v>
      </c>
      <c r="AG4" s="93" t="s">
        <v>463</v>
      </c>
      <c r="AH4" s="33" t="s">
        <v>34</v>
      </c>
      <c r="AI4" s="95" t="s">
        <v>5</v>
      </c>
      <c r="AJ4" s="96" t="s">
        <v>543</v>
      </c>
      <c r="AK4" s="97" t="s">
        <v>544</v>
      </c>
    </row>
    <row r="5" spans="1:37" x14ac:dyDescent="0.25">
      <c r="A5" s="265" t="s">
        <v>13</v>
      </c>
      <c r="B5" s="267"/>
      <c r="C5" s="268"/>
      <c r="D5" s="23"/>
      <c r="F5" s="120"/>
      <c r="H5" s="204"/>
      <c r="I5" s="195"/>
      <c r="J5" s="185"/>
      <c r="K5" s="168"/>
      <c r="L5" s="162"/>
      <c r="M5" s="143"/>
      <c r="N5" s="217"/>
      <c r="O5" s="123"/>
      <c r="P5" s="96"/>
      <c r="Q5" s="97"/>
      <c r="R5" s="143"/>
      <c r="S5" s="137"/>
      <c r="T5" s="133"/>
      <c r="U5" s="114"/>
      <c r="V5" s="112"/>
      <c r="W5" s="91"/>
      <c r="X5" s="123"/>
      <c r="Y5" s="96"/>
      <c r="Z5" s="97"/>
      <c r="AA5" s="91"/>
      <c r="AB5" s="34"/>
      <c r="AC5" s="37"/>
      <c r="AD5" s="57"/>
      <c r="AE5" s="69"/>
      <c r="AF5" s="91"/>
      <c r="AG5" s="88"/>
      <c r="AH5" s="34"/>
      <c r="AI5" s="95"/>
      <c r="AJ5" s="96"/>
      <c r="AK5" s="97"/>
    </row>
    <row r="6" spans="1:37" x14ac:dyDescent="0.25">
      <c r="A6" s="51" t="s">
        <v>370</v>
      </c>
      <c r="B6" s="51" t="s">
        <v>0</v>
      </c>
      <c r="C6" s="52">
        <v>2007</v>
      </c>
      <c r="D6" s="2">
        <f>Q6+E6</f>
        <v>293</v>
      </c>
      <c r="F6" s="120"/>
      <c r="H6" s="108"/>
      <c r="I6" s="108"/>
      <c r="J6" s="108"/>
      <c r="K6" s="108">
        <f>0+3</f>
        <v>3</v>
      </c>
      <c r="L6" s="108">
        <f>0</f>
        <v>0</v>
      </c>
      <c r="M6" s="108">
        <f>0+3</f>
        <v>3</v>
      </c>
      <c r="N6" s="108">
        <f>Z6</f>
        <v>287</v>
      </c>
      <c r="O6" s="122"/>
      <c r="P6" s="96">
        <f>H6+I6+J6+K6+L6+M6+N6</f>
        <v>293</v>
      </c>
      <c r="Q6" s="97">
        <f>IF(C6=2008, P6/3,P6)+O6</f>
        <v>293</v>
      </c>
      <c r="R6" s="143"/>
      <c r="S6" s="108">
        <f>3</f>
        <v>3</v>
      </c>
      <c r="T6" s="108">
        <f>0</f>
        <v>0</v>
      </c>
      <c r="U6" s="108">
        <f>9</f>
        <v>9</v>
      </c>
      <c r="V6" s="108"/>
      <c r="W6" s="108">
        <f>AK6</f>
        <v>275</v>
      </c>
      <c r="X6" s="122"/>
      <c r="Y6" s="96">
        <f>SUM(S6:W6)</f>
        <v>287</v>
      </c>
      <c r="Z6" s="97">
        <f>IF(C6=2011, Y6/3,Y6)+X6</f>
        <v>287</v>
      </c>
      <c r="AA6" s="91"/>
      <c r="AB6" s="69"/>
      <c r="AC6" s="69"/>
      <c r="AD6" s="69"/>
      <c r="AE6" s="50">
        <f>6</f>
        <v>6</v>
      </c>
      <c r="AF6" s="50">
        <f>0+6</f>
        <v>6</v>
      </c>
      <c r="AG6" s="50">
        <f>3+3</f>
        <v>6</v>
      </c>
      <c r="AH6" s="50">
        <f>257</f>
        <v>257</v>
      </c>
      <c r="AI6" s="95"/>
      <c r="AJ6" s="96">
        <f>SUM(AB6:AH6)</f>
        <v>275</v>
      </c>
      <c r="AK6" s="97">
        <f>IF(C6=2010, AJ6/3,AJ6)+AI6</f>
        <v>275</v>
      </c>
    </row>
    <row r="7" spans="1:37" x14ac:dyDescent="0.25">
      <c r="A7" s="60" t="s">
        <v>639</v>
      </c>
      <c r="B7" s="60" t="s">
        <v>6</v>
      </c>
      <c r="C7" s="131">
        <v>2004</v>
      </c>
      <c r="D7" s="2">
        <f t="shared" ref="D7:D15" si="0">Q7+E7</f>
        <v>917</v>
      </c>
      <c r="F7" s="154"/>
      <c r="H7" s="204"/>
      <c r="I7" s="195"/>
      <c r="J7" s="185"/>
      <c r="K7" s="168"/>
      <c r="L7" s="162"/>
      <c r="M7" s="143"/>
      <c r="N7" s="108">
        <f t="shared" ref="N7:N16" si="1">Z7</f>
        <v>917</v>
      </c>
      <c r="O7" s="123"/>
      <c r="P7" s="96">
        <f t="shared" ref="P7:P16" si="2">H7+I7+J7+K7+L7+M7+N7</f>
        <v>917</v>
      </c>
      <c r="Q7" s="97">
        <f t="shared" ref="Q7:Q16" si="3">IF(C7=2008, P7/3,P7)+O7</f>
        <v>917</v>
      </c>
      <c r="R7" s="143"/>
      <c r="S7" s="137"/>
      <c r="T7" s="133"/>
      <c r="U7" s="114">
        <f>9</f>
        <v>9</v>
      </c>
      <c r="V7" s="114"/>
      <c r="W7" s="108">
        <v>908</v>
      </c>
      <c r="X7" s="123"/>
      <c r="Y7" s="96">
        <f>SUM(S7:W7)</f>
        <v>917</v>
      </c>
      <c r="Z7" s="97">
        <f>IF(C7=2007, Y7/3,Y7)+X7</f>
        <v>917</v>
      </c>
      <c r="AA7" s="114"/>
      <c r="AB7" s="114"/>
      <c r="AC7" s="114"/>
      <c r="AD7" s="114"/>
      <c r="AE7" s="114"/>
      <c r="AF7" s="114"/>
      <c r="AG7" s="114"/>
      <c r="AH7" s="114"/>
      <c r="AI7" s="95"/>
      <c r="AJ7" s="96"/>
      <c r="AK7" s="97"/>
    </row>
    <row r="8" spans="1:37" x14ac:dyDescent="0.25">
      <c r="A8" s="126" t="s">
        <v>866</v>
      </c>
      <c r="B8" s="164" t="s">
        <v>6</v>
      </c>
      <c r="C8" s="165">
        <v>2006</v>
      </c>
      <c r="D8" s="2">
        <f>Q8+E8</f>
        <v>208</v>
      </c>
      <c r="F8" s="154"/>
      <c r="H8" s="108"/>
      <c r="I8" s="108"/>
      <c r="J8" s="108"/>
      <c r="K8" s="108">
        <f>6</f>
        <v>6</v>
      </c>
      <c r="L8" s="108">
        <f>6+12+12</f>
        <v>30</v>
      </c>
      <c r="M8" s="162"/>
      <c r="N8" s="108">
        <f>Z8</f>
        <v>172</v>
      </c>
      <c r="O8" s="123"/>
      <c r="P8" s="96">
        <f>H8+I8+J8+K8+L8+M8+N8</f>
        <v>208</v>
      </c>
      <c r="Q8" s="97">
        <f>IF(C8=2008, P8/3,P8)+O8</f>
        <v>208</v>
      </c>
      <c r="R8" s="162"/>
      <c r="S8" s="162"/>
      <c r="T8" s="162"/>
      <c r="U8" s="162"/>
      <c r="V8" s="162"/>
      <c r="W8" s="108"/>
      <c r="X8" s="123"/>
      <c r="Y8" s="96">
        <v>172</v>
      </c>
      <c r="Z8" s="97">
        <f>IF(C8=2007, Y8/3,Y8)+X8</f>
        <v>172</v>
      </c>
      <c r="AA8" s="162"/>
      <c r="AB8" s="162"/>
      <c r="AC8" s="162"/>
      <c r="AD8" s="162"/>
      <c r="AE8" s="162"/>
      <c r="AF8" s="162"/>
      <c r="AG8" s="162"/>
      <c r="AH8" s="162"/>
      <c r="AI8" s="95"/>
      <c r="AJ8" s="96">
        <v>516</v>
      </c>
      <c r="AK8" s="97">
        <f>IF(C8=2006, AJ8/3,AJ8)+AI8</f>
        <v>172</v>
      </c>
    </row>
    <row r="9" spans="1:37" s="17" customFormat="1" x14ac:dyDescent="0.25">
      <c r="A9" s="253" t="s">
        <v>14</v>
      </c>
      <c r="B9" s="254"/>
      <c r="C9" s="255"/>
      <c r="D9" s="2"/>
      <c r="E9" s="219"/>
      <c r="F9" s="120"/>
      <c r="G9" s="219"/>
      <c r="H9" s="204"/>
      <c r="I9" s="195"/>
      <c r="J9" s="185"/>
      <c r="K9" s="168"/>
      <c r="L9" s="162"/>
      <c r="M9" s="143"/>
      <c r="N9" s="108">
        <f t="shared" si="1"/>
        <v>0</v>
      </c>
      <c r="O9" s="148"/>
      <c r="P9" s="96">
        <f t="shared" si="2"/>
        <v>0</v>
      </c>
      <c r="Q9" s="97">
        <f t="shared" si="3"/>
        <v>0</v>
      </c>
      <c r="R9" s="143"/>
      <c r="S9" s="137"/>
      <c r="T9" s="133"/>
      <c r="U9" s="114"/>
      <c r="V9" s="112"/>
      <c r="W9" s="91"/>
      <c r="X9" s="143"/>
      <c r="Y9" s="68"/>
      <c r="Z9" s="68"/>
      <c r="AA9" s="91"/>
      <c r="AB9" s="34"/>
      <c r="AC9" s="37"/>
      <c r="AD9" s="57"/>
      <c r="AE9" s="69"/>
      <c r="AF9" s="91"/>
      <c r="AG9" s="88"/>
      <c r="AH9" s="34"/>
      <c r="AI9" s="95"/>
      <c r="AJ9" s="96"/>
      <c r="AK9" s="97">
        <f t="shared" ref="AK9" si="4">IF(C9=2010, AJ9/3,AJ9)+AI9</f>
        <v>0</v>
      </c>
    </row>
    <row r="10" spans="1:37" s="17" customFormat="1" x14ac:dyDescent="0.25">
      <c r="A10" s="60" t="s">
        <v>373</v>
      </c>
      <c r="B10" s="65" t="s">
        <v>374</v>
      </c>
      <c r="C10" s="62">
        <v>2005</v>
      </c>
      <c r="D10" s="2">
        <f t="shared" si="0"/>
        <v>41</v>
      </c>
      <c r="E10" s="219"/>
      <c r="F10" s="154"/>
      <c r="G10" s="219"/>
      <c r="H10" s="108"/>
      <c r="I10" s="108"/>
      <c r="J10" s="108"/>
      <c r="K10" s="108"/>
      <c r="L10" s="108"/>
      <c r="M10" s="108"/>
      <c r="N10" s="108">
        <f t="shared" si="1"/>
        <v>41</v>
      </c>
      <c r="O10" s="122"/>
      <c r="P10" s="96">
        <f t="shared" si="2"/>
        <v>41</v>
      </c>
      <c r="Q10" s="97">
        <f t="shared" si="3"/>
        <v>41</v>
      </c>
      <c r="R10" s="143"/>
      <c r="S10" s="108"/>
      <c r="T10" s="108"/>
      <c r="U10" s="108"/>
      <c r="V10" s="108"/>
      <c r="W10" s="108">
        <f>AK10</f>
        <v>41</v>
      </c>
      <c r="X10" s="122"/>
      <c r="Y10" s="96">
        <f t="shared" ref="Y10:Y14" si="5">SUM(S10:W10)</f>
        <v>41</v>
      </c>
      <c r="Z10" s="97">
        <f>IF(C10=2007, Y10/3,Y10)+X10</f>
        <v>41</v>
      </c>
      <c r="AA10" s="91"/>
      <c r="AB10" s="69"/>
      <c r="AC10" s="80"/>
      <c r="AD10" s="80"/>
      <c r="AE10" s="80">
        <f>4</f>
        <v>4</v>
      </c>
      <c r="AF10" s="80"/>
      <c r="AG10" s="80"/>
      <c r="AH10" s="80">
        <f>37</f>
        <v>37</v>
      </c>
      <c r="AI10" s="95"/>
      <c r="AJ10" s="96">
        <f>SUM(AB10:AH10)</f>
        <v>41</v>
      </c>
      <c r="AK10" s="97">
        <f>IF(C10=2006, AJ10/3,AJ10)+AI10</f>
        <v>41</v>
      </c>
    </row>
    <row r="11" spans="1:37" x14ac:dyDescent="0.25">
      <c r="A11" s="60" t="s">
        <v>208</v>
      </c>
      <c r="B11" s="65" t="s">
        <v>86</v>
      </c>
      <c r="C11" s="62">
        <v>2007</v>
      </c>
      <c r="D11" s="2">
        <f t="shared" si="0"/>
        <v>0</v>
      </c>
      <c r="E11" s="156"/>
      <c r="F11" s="154"/>
      <c r="G11" s="156"/>
      <c r="H11" s="108"/>
      <c r="I11" s="108"/>
      <c r="J11" s="108"/>
      <c r="K11" s="108"/>
      <c r="L11" s="108"/>
      <c r="M11" s="108"/>
      <c r="N11" s="108">
        <f t="shared" si="1"/>
        <v>0</v>
      </c>
      <c r="O11" s="122"/>
      <c r="P11" s="96">
        <f t="shared" si="2"/>
        <v>0</v>
      </c>
      <c r="Q11" s="97">
        <f t="shared" si="3"/>
        <v>0</v>
      </c>
      <c r="S11" s="108"/>
      <c r="T11" s="108"/>
      <c r="U11" s="108"/>
      <c r="V11" s="108"/>
      <c r="W11" s="108">
        <f>AK11</f>
        <v>0</v>
      </c>
      <c r="X11" s="122"/>
      <c r="Y11" s="96">
        <f>SUM(S11:W11)</f>
        <v>0</v>
      </c>
      <c r="Z11" s="97">
        <f>IF(C11=2011, Y11/3,Y11)+X11</f>
        <v>0</v>
      </c>
      <c r="AC11" s="13">
        <v>0</v>
      </c>
      <c r="AI11" s="95"/>
      <c r="AJ11" s="96">
        <f>SUM(AB11:AH11)</f>
        <v>0</v>
      </c>
      <c r="AK11" s="97">
        <f>IF(C11=2010, AJ11/3,AJ11)+AI11</f>
        <v>0</v>
      </c>
    </row>
    <row r="12" spans="1:37" x14ac:dyDescent="0.25">
      <c r="A12" s="60" t="s">
        <v>206</v>
      </c>
      <c r="B12" s="65" t="s">
        <v>87</v>
      </c>
      <c r="C12" s="62">
        <v>2006</v>
      </c>
      <c r="D12" s="2">
        <f t="shared" si="0"/>
        <v>4</v>
      </c>
      <c r="F12" s="120"/>
      <c r="H12" s="108"/>
      <c r="I12" s="108"/>
      <c r="J12" s="108"/>
      <c r="K12" s="108"/>
      <c r="L12" s="108"/>
      <c r="M12" s="108"/>
      <c r="N12" s="108">
        <f t="shared" si="1"/>
        <v>4</v>
      </c>
      <c r="O12" s="122"/>
      <c r="P12" s="96">
        <f t="shared" si="2"/>
        <v>4</v>
      </c>
      <c r="Q12" s="97">
        <f t="shared" si="3"/>
        <v>4</v>
      </c>
      <c r="R12" s="22"/>
      <c r="S12" s="108"/>
      <c r="T12" s="108"/>
      <c r="U12" s="108"/>
      <c r="V12" s="108"/>
      <c r="W12" s="108">
        <f>AK12</f>
        <v>4</v>
      </c>
      <c r="X12" s="122"/>
      <c r="Y12" s="96">
        <f t="shared" si="5"/>
        <v>4</v>
      </c>
      <c r="Z12" s="97">
        <f>IF(C12=2007, Y12/3,Y12)+X12</f>
        <v>4</v>
      </c>
      <c r="AA12" s="22"/>
      <c r="AB12" s="108">
        <f>6</f>
        <v>6</v>
      </c>
      <c r="AE12" s="13">
        <v>6</v>
      </c>
      <c r="AI12" s="95"/>
      <c r="AJ12" s="96">
        <f>SUM(AB12:AH12)</f>
        <v>12</v>
      </c>
      <c r="AK12" s="97">
        <f>IF(C12=2006, AJ12/3,AJ12)+AI12</f>
        <v>4</v>
      </c>
    </row>
    <row r="13" spans="1:37" x14ac:dyDescent="0.25">
      <c r="A13" s="60" t="s">
        <v>640</v>
      </c>
      <c r="B13" s="60" t="s">
        <v>64</v>
      </c>
      <c r="C13" s="60"/>
      <c r="D13" s="2">
        <f t="shared" si="0"/>
        <v>84</v>
      </c>
      <c r="E13" s="158"/>
      <c r="F13" s="120"/>
      <c r="G13" s="158"/>
      <c r="H13" s="204"/>
      <c r="I13" s="195"/>
      <c r="J13" s="185"/>
      <c r="K13" s="168"/>
      <c r="L13" s="162"/>
      <c r="M13" s="143"/>
      <c r="N13" s="108">
        <f t="shared" si="1"/>
        <v>84</v>
      </c>
      <c r="O13" s="123"/>
      <c r="P13" s="96">
        <f t="shared" si="2"/>
        <v>84</v>
      </c>
      <c r="Q13" s="97">
        <f t="shared" si="3"/>
        <v>84</v>
      </c>
      <c r="R13" s="143"/>
      <c r="S13" s="137"/>
      <c r="T13" s="133"/>
      <c r="U13" s="114">
        <f>3</f>
        <v>3</v>
      </c>
      <c r="V13" s="114"/>
      <c r="W13" s="108">
        <f>81</f>
        <v>81</v>
      </c>
      <c r="X13" s="123"/>
      <c r="Y13" s="96">
        <f t="shared" si="5"/>
        <v>84</v>
      </c>
      <c r="Z13" s="97">
        <f>IF(C13=2007, Y13/3,Y13)+X13</f>
        <v>84</v>
      </c>
      <c r="AA13" s="114"/>
      <c r="AB13" s="114"/>
      <c r="AC13" s="114"/>
      <c r="AD13" s="114"/>
      <c r="AE13" s="114"/>
      <c r="AF13" s="114"/>
      <c r="AG13" s="114"/>
      <c r="AH13" s="114"/>
      <c r="AI13" s="95"/>
      <c r="AJ13" s="96"/>
      <c r="AK13" s="97"/>
    </row>
    <row r="14" spans="1:37" x14ac:dyDescent="0.25">
      <c r="A14" s="11" t="s">
        <v>390</v>
      </c>
      <c r="B14" s="11" t="s">
        <v>380</v>
      </c>
      <c r="C14" s="3">
        <v>2005</v>
      </c>
      <c r="D14" s="2">
        <f t="shared" si="0"/>
        <v>0</v>
      </c>
      <c r="F14" s="120"/>
      <c r="H14" s="108"/>
      <c r="I14" s="108"/>
      <c r="J14" s="108"/>
      <c r="K14" s="108"/>
      <c r="L14" s="108"/>
      <c r="M14" s="108"/>
      <c r="N14" s="108">
        <f t="shared" si="1"/>
        <v>0</v>
      </c>
      <c r="O14" s="122"/>
      <c r="P14" s="96">
        <f t="shared" si="2"/>
        <v>0</v>
      </c>
      <c r="Q14" s="97">
        <f t="shared" si="3"/>
        <v>0</v>
      </c>
      <c r="S14" s="108"/>
      <c r="T14" s="108"/>
      <c r="U14" s="108"/>
      <c r="V14" s="108"/>
      <c r="W14" s="108">
        <f>AK14</f>
        <v>0</v>
      </c>
      <c r="X14" s="122"/>
      <c r="Y14" s="96">
        <f t="shared" si="5"/>
        <v>0</v>
      </c>
      <c r="Z14" s="97">
        <f>IF(C14=2007, Y14/3,Y14)+X14</f>
        <v>0</v>
      </c>
      <c r="AE14" s="13">
        <f>0</f>
        <v>0</v>
      </c>
      <c r="AI14" s="95"/>
      <c r="AJ14" s="96">
        <f>SUM(AB14:AH14)</f>
        <v>0</v>
      </c>
      <c r="AK14" s="97">
        <f>IF(C14=2006, AJ14/3,AJ14)+AI14</f>
        <v>0</v>
      </c>
    </row>
    <row r="15" spans="1:37" x14ac:dyDescent="0.25">
      <c r="A15" s="60" t="s">
        <v>207</v>
      </c>
      <c r="B15" s="65" t="s">
        <v>87</v>
      </c>
      <c r="C15" s="62">
        <v>2007</v>
      </c>
      <c r="D15" s="2">
        <f t="shared" si="0"/>
        <v>18</v>
      </c>
      <c r="F15" s="120"/>
      <c r="H15" s="108"/>
      <c r="I15" s="108"/>
      <c r="J15" s="108"/>
      <c r="K15" s="108"/>
      <c r="L15" s="108"/>
      <c r="M15" s="108"/>
      <c r="N15" s="108">
        <f t="shared" si="1"/>
        <v>18</v>
      </c>
      <c r="O15" s="122"/>
      <c r="P15" s="96">
        <f t="shared" si="2"/>
        <v>18</v>
      </c>
      <c r="Q15" s="97">
        <f t="shared" si="3"/>
        <v>18</v>
      </c>
      <c r="S15" s="108"/>
      <c r="T15" s="108"/>
      <c r="U15" s="108"/>
      <c r="V15" s="108"/>
      <c r="W15" s="108">
        <f>AK15</f>
        <v>18</v>
      </c>
      <c r="X15" s="122"/>
      <c r="Y15" s="96">
        <f>SUM(S15:W15)</f>
        <v>18</v>
      </c>
      <c r="Z15" s="97">
        <f>IF(C15=2011, Y15/3,Y15)+X15</f>
        <v>18</v>
      </c>
      <c r="AC15" s="13">
        <f>15+3</f>
        <v>18</v>
      </c>
      <c r="AI15" s="95"/>
      <c r="AJ15" s="96">
        <f>SUM(AB15:AH15)</f>
        <v>18</v>
      </c>
      <c r="AK15" s="97">
        <f>IF(C15=2010, AJ15/3,AJ15)+AI15</f>
        <v>18</v>
      </c>
    </row>
    <row r="16" spans="1:37" s="17" customFormat="1" x14ac:dyDescent="0.25">
      <c r="A16" s="253" t="s">
        <v>15</v>
      </c>
      <c r="B16" s="254"/>
      <c r="C16" s="255"/>
      <c r="D16" s="2"/>
      <c r="E16" s="219"/>
      <c r="F16" s="154"/>
      <c r="G16" s="219"/>
      <c r="H16" s="108"/>
      <c r="I16" s="108"/>
      <c r="J16" s="108"/>
      <c r="K16" s="108"/>
      <c r="L16" s="108"/>
      <c r="M16" s="108"/>
      <c r="N16" s="108">
        <f t="shared" si="1"/>
        <v>0</v>
      </c>
      <c r="O16" s="108"/>
      <c r="P16" s="96">
        <f t="shared" si="2"/>
        <v>0</v>
      </c>
      <c r="Q16" s="97">
        <f t="shared" si="3"/>
        <v>0</v>
      </c>
      <c r="R16" s="143"/>
      <c r="S16" s="108"/>
      <c r="T16" s="108"/>
      <c r="U16" s="108"/>
      <c r="V16" s="108"/>
      <c r="W16" s="108"/>
      <c r="X16" s="108"/>
      <c r="Y16" s="68"/>
      <c r="Z16" s="68"/>
      <c r="AA16" s="91"/>
      <c r="AB16" s="34"/>
      <c r="AC16" s="37"/>
      <c r="AD16" s="57"/>
      <c r="AE16" s="69"/>
      <c r="AF16" s="91"/>
      <c r="AG16" s="88"/>
      <c r="AH16" s="34"/>
      <c r="AI16" s="95"/>
      <c r="AJ16" s="96">
        <f t="shared" ref="AJ16" si="6">SUM(AB16:AH16)</f>
        <v>0</v>
      </c>
      <c r="AK16" s="97">
        <f>IF(C16=2006, AJ16/3,AJ16)+AI16</f>
        <v>0</v>
      </c>
    </row>
    <row r="17" spans="1:37" s="17" customFormat="1" x14ac:dyDescent="0.25">
      <c r="A17" s="60" t="s">
        <v>1069</v>
      </c>
      <c r="B17" s="65" t="s">
        <v>86</v>
      </c>
      <c r="C17" s="62">
        <v>2005</v>
      </c>
      <c r="D17" s="2">
        <f t="shared" ref="D17:D26" si="7">Q17+E17</f>
        <v>2</v>
      </c>
      <c r="E17" s="219"/>
      <c r="F17" s="154"/>
      <c r="G17" s="219"/>
      <c r="H17" s="108">
        <f>2</f>
        <v>2</v>
      </c>
      <c r="I17" s="108"/>
      <c r="J17" s="108"/>
      <c r="K17" s="108"/>
      <c r="L17" s="108"/>
      <c r="M17" s="108"/>
      <c r="N17" s="108">
        <f>Z17</f>
        <v>0</v>
      </c>
      <c r="O17" s="108"/>
      <c r="P17" s="96">
        <f>H17+I17+J17+K17+L17+M17+N17</f>
        <v>2</v>
      </c>
      <c r="Q17" s="97">
        <f>IF(C17=2008, P17/3,P17)+O17</f>
        <v>2</v>
      </c>
      <c r="R17" s="204"/>
      <c r="S17" s="108"/>
      <c r="T17" s="108"/>
      <c r="U17" s="108"/>
      <c r="V17" s="108"/>
      <c r="W17" s="108"/>
      <c r="X17" s="108"/>
      <c r="Y17" s="68"/>
      <c r="Z17" s="68"/>
      <c r="AA17" s="204"/>
      <c r="AB17" s="204"/>
      <c r="AC17" s="204"/>
      <c r="AD17" s="204"/>
      <c r="AE17" s="204"/>
      <c r="AF17" s="204"/>
      <c r="AG17" s="204"/>
      <c r="AH17" s="204"/>
      <c r="AI17" s="95"/>
      <c r="AJ17" s="96"/>
      <c r="AK17" s="97"/>
    </row>
    <row r="18" spans="1:37" s="17" customFormat="1" x14ac:dyDescent="0.25">
      <c r="A18" s="60" t="s">
        <v>1070</v>
      </c>
      <c r="B18" s="65" t="s">
        <v>86</v>
      </c>
      <c r="C18" s="62">
        <v>2007</v>
      </c>
      <c r="D18" s="2">
        <f t="shared" si="7"/>
        <v>0</v>
      </c>
      <c r="E18" s="219"/>
      <c r="F18" s="120"/>
      <c r="G18" s="219"/>
      <c r="H18" s="108">
        <f>0</f>
        <v>0</v>
      </c>
      <c r="I18" s="108"/>
      <c r="J18" s="108"/>
      <c r="K18" s="108"/>
      <c r="L18" s="108"/>
      <c r="M18" s="108"/>
      <c r="N18" s="108">
        <f>Z18</f>
        <v>0</v>
      </c>
      <c r="O18" s="108"/>
      <c r="P18" s="96">
        <f>H18+I18+J18+K18+L18+M18+N18</f>
        <v>0</v>
      </c>
      <c r="Q18" s="97">
        <f>IF(C18=2008, P18/3,P18)+O18</f>
        <v>0</v>
      </c>
      <c r="R18" s="204"/>
      <c r="S18" s="108"/>
      <c r="T18" s="108"/>
      <c r="U18" s="108"/>
      <c r="V18" s="108"/>
      <c r="W18" s="108"/>
      <c r="X18" s="108"/>
      <c r="Y18" s="68"/>
      <c r="Z18" s="68"/>
      <c r="AA18" s="204"/>
      <c r="AB18" s="204"/>
      <c r="AC18" s="204"/>
      <c r="AD18" s="204"/>
      <c r="AE18" s="204"/>
      <c r="AF18" s="204"/>
      <c r="AG18" s="204"/>
      <c r="AH18" s="204"/>
      <c r="AI18" s="95"/>
      <c r="AJ18" s="96"/>
      <c r="AK18" s="97"/>
    </row>
    <row r="19" spans="1:37" x14ac:dyDescent="0.25">
      <c r="A19" s="11" t="s">
        <v>1209</v>
      </c>
      <c r="B19" s="65" t="s">
        <v>87</v>
      </c>
      <c r="C19" s="3">
        <v>2003</v>
      </c>
      <c r="D19" s="2">
        <f t="shared" si="7"/>
        <v>27</v>
      </c>
      <c r="E19" s="219">
        <f>27</f>
        <v>27</v>
      </c>
      <c r="F19" s="120"/>
      <c r="P19" s="17"/>
      <c r="Q19" s="17"/>
      <c r="Y19" s="17"/>
      <c r="Z19" s="17"/>
      <c r="AI19" s="17"/>
      <c r="AJ19" s="17"/>
      <c r="AK19" s="17"/>
    </row>
    <row r="20" spans="1:37" x14ac:dyDescent="0.25">
      <c r="A20" s="60" t="s">
        <v>223</v>
      </c>
      <c r="B20" s="65" t="s">
        <v>87</v>
      </c>
      <c r="C20" s="62">
        <v>2005</v>
      </c>
      <c r="D20" s="2">
        <f t="shared" si="7"/>
        <v>3</v>
      </c>
      <c r="E20" s="233">
        <f>0</f>
        <v>0</v>
      </c>
      <c r="F20" s="120"/>
      <c r="G20" s="233"/>
      <c r="H20" s="108"/>
      <c r="I20" s="108"/>
      <c r="J20" s="108"/>
      <c r="K20" s="108"/>
      <c r="L20" s="108"/>
      <c r="M20" s="108"/>
      <c r="N20" s="108">
        <f>Z20</f>
        <v>3</v>
      </c>
      <c r="O20" s="122"/>
      <c r="P20" s="96">
        <f>H20+I20+J20+K20+L20+M20+N20</f>
        <v>3</v>
      </c>
      <c r="Q20" s="97">
        <f>IF(C20=2008, P20/3,P20)+O20</f>
        <v>3</v>
      </c>
      <c r="R20" s="232"/>
      <c r="S20" s="108"/>
      <c r="T20" s="108"/>
      <c r="U20" s="108"/>
      <c r="V20" s="108"/>
      <c r="W20" s="108">
        <f>AK20</f>
        <v>3</v>
      </c>
      <c r="X20" s="122"/>
      <c r="Y20" s="96">
        <f>SUM(S20:W20)</f>
        <v>3</v>
      </c>
      <c r="Z20" s="97">
        <f>IF(C20=2007, Y20/3,Y20)+X20</f>
        <v>3</v>
      </c>
      <c r="AA20" s="232"/>
      <c r="AB20" s="232"/>
      <c r="AC20" s="80">
        <v>3</v>
      </c>
      <c r="AD20" s="80"/>
      <c r="AE20" s="80"/>
      <c r="AF20" s="80"/>
      <c r="AG20" s="80"/>
      <c r="AH20" s="80"/>
      <c r="AI20" s="95"/>
      <c r="AJ20" s="96">
        <f>SUM(AB20:AH20)</f>
        <v>3</v>
      </c>
      <c r="AK20" s="97">
        <f>IF(C20=2006, AJ20/3,AJ20)+AI20</f>
        <v>3</v>
      </c>
    </row>
    <row r="21" spans="1:37" x14ac:dyDescent="0.25">
      <c r="A21" s="60" t="s">
        <v>1204</v>
      </c>
      <c r="B21" s="65" t="s">
        <v>87</v>
      </c>
      <c r="C21" s="62">
        <v>2008</v>
      </c>
      <c r="D21" s="2">
        <f t="shared" si="7"/>
        <v>36</v>
      </c>
      <c r="E21" s="219">
        <f>36</f>
        <v>36</v>
      </c>
      <c r="F21" s="120"/>
      <c r="H21" s="108"/>
      <c r="I21" s="108"/>
      <c r="J21" s="108"/>
      <c r="K21" s="108"/>
      <c r="L21" s="108"/>
      <c r="M21" s="108"/>
      <c r="N21" s="108"/>
      <c r="O21" s="122"/>
      <c r="P21" s="96"/>
      <c r="Q21" s="97"/>
      <c r="R21" s="143"/>
      <c r="S21" s="108"/>
      <c r="T21" s="108"/>
      <c r="U21" s="108"/>
      <c r="V21" s="108"/>
      <c r="W21" s="108"/>
      <c r="X21" s="122"/>
      <c r="Y21" s="96"/>
      <c r="Z21" s="97"/>
      <c r="AA21" s="91"/>
      <c r="AB21" s="232"/>
      <c r="AC21" s="80"/>
      <c r="AD21" s="80"/>
      <c r="AE21" s="80"/>
      <c r="AF21" s="80"/>
      <c r="AG21" s="80"/>
      <c r="AH21" s="80"/>
      <c r="AI21" s="95"/>
      <c r="AJ21" s="96"/>
      <c r="AK21" s="97"/>
    </row>
    <row r="22" spans="1:37" x14ac:dyDescent="0.25">
      <c r="A22" s="11" t="s">
        <v>1210</v>
      </c>
      <c r="B22" s="65" t="s">
        <v>87</v>
      </c>
      <c r="C22" s="3">
        <v>2007</v>
      </c>
      <c r="D22" s="2">
        <f t="shared" si="7"/>
        <v>27</v>
      </c>
      <c r="E22" s="219">
        <f>27</f>
        <v>27</v>
      </c>
      <c r="F22" s="120"/>
      <c r="P22" s="17"/>
      <c r="Q22" s="17"/>
    </row>
    <row r="23" spans="1:37" x14ac:dyDescent="0.25">
      <c r="A23" s="60" t="s">
        <v>224</v>
      </c>
      <c r="B23" s="65" t="s">
        <v>87</v>
      </c>
      <c r="C23" s="62">
        <v>2004</v>
      </c>
      <c r="D23" s="2">
        <f t="shared" si="7"/>
        <v>0</v>
      </c>
      <c r="E23" s="233"/>
      <c r="F23" s="120"/>
      <c r="G23" s="233"/>
      <c r="H23" s="108"/>
      <c r="I23" s="108"/>
      <c r="J23" s="108"/>
      <c r="K23" s="108"/>
      <c r="L23" s="108"/>
      <c r="M23" s="108"/>
      <c r="N23" s="108">
        <f>Z23</f>
        <v>0</v>
      </c>
      <c r="O23" s="122"/>
      <c r="P23" s="96">
        <f>H23+I23+J23+K23+L23+M23+N23</f>
        <v>0</v>
      </c>
      <c r="Q23" s="97">
        <f>IF(C23=2008, P23/3,P23)+O23</f>
        <v>0</v>
      </c>
      <c r="R23" s="232"/>
      <c r="S23" s="108"/>
      <c r="T23" s="108"/>
      <c r="U23" s="108"/>
      <c r="V23" s="108"/>
      <c r="W23" s="108">
        <f>AK23</f>
        <v>0</v>
      </c>
      <c r="X23" s="122"/>
      <c r="Y23" s="242">
        <f>SUM(S23:W23)</f>
        <v>0</v>
      </c>
      <c r="Z23" s="243">
        <f>IF(C23=2007, Y23/3,Y23)+X23</f>
        <v>0</v>
      </c>
      <c r="AA23" s="232"/>
      <c r="AC23" s="80">
        <v>0</v>
      </c>
      <c r="AD23" s="80"/>
      <c r="AE23" s="80"/>
      <c r="AF23" s="80"/>
      <c r="AG23" s="80"/>
      <c r="AH23" s="80"/>
      <c r="AI23" s="157"/>
      <c r="AJ23" s="242">
        <f>SUM(AB23:AH23)</f>
        <v>0</v>
      </c>
      <c r="AK23" s="243">
        <f>IF(C23=2006, AJ23/3,AJ23)+AI23</f>
        <v>0</v>
      </c>
    </row>
    <row r="24" spans="1:37" x14ac:dyDescent="0.25">
      <c r="A24" s="11" t="s">
        <v>934</v>
      </c>
      <c r="B24" s="11" t="s">
        <v>929</v>
      </c>
      <c r="C24" s="3">
        <v>1993</v>
      </c>
      <c r="D24" s="2">
        <f t="shared" si="7"/>
        <v>0</v>
      </c>
      <c r="E24" s="219">
        <f>0</f>
        <v>0</v>
      </c>
      <c r="F24" s="120"/>
      <c r="J24" s="13">
        <f>0</f>
        <v>0</v>
      </c>
      <c r="N24" s="108">
        <f>Z24</f>
        <v>0</v>
      </c>
      <c r="P24" s="242">
        <f>H24+I24+J24+K24+L24+M24+N24</f>
        <v>0</v>
      </c>
      <c r="Q24" s="243">
        <f>IF(C24=2008, P24/3,P24)+O24</f>
        <v>0</v>
      </c>
    </row>
    <row r="25" spans="1:37" x14ac:dyDescent="0.25">
      <c r="A25" s="11" t="s">
        <v>933</v>
      </c>
      <c r="B25" s="11" t="s">
        <v>928</v>
      </c>
      <c r="C25" s="3">
        <v>1998</v>
      </c>
      <c r="D25" s="2">
        <f t="shared" si="7"/>
        <v>3</v>
      </c>
      <c r="E25" s="156"/>
      <c r="F25" s="122"/>
      <c r="G25" s="156"/>
      <c r="J25" s="13">
        <f>3</f>
        <v>3</v>
      </c>
      <c r="K25" s="232"/>
      <c r="L25" s="232"/>
      <c r="M25" s="232"/>
      <c r="N25" s="108">
        <f>Z25</f>
        <v>0</v>
      </c>
      <c r="O25" s="232"/>
      <c r="P25" s="242">
        <f>H25+I25+J25+K25+L25+M25+N25</f>
        <v>3</v>
      </c>
      <c r="Q25" s="243">
        <f>IF(C25=2008, P25/3,P25)+O25</f>
        <v>3</v>
      </c>
      <c r="S25" s="232"/>
      <c r="T25" s="232"/>
      <c r="U25" s="232"/>
      <c r="V25" s="232"/>
      <c r="W25" s="232"/>
      <c r="X25" s="232"/>
    </row>
    <row r="26" spans="1:37" x14ac:dyDescent="0.25">
      <c r="A26" s="11" t="s">
        <v>1221</v>
      </c>
      <c r="B26" s="11" t="s">
        <v>87</v>
      </c>
      <c r="C26" s="3">
        <v>2008</v>
      </c>
      <c r="D26" s="2">
        <f t="shared" si="7"/>
        <v>0</v>
      </c>
      <c r="E26" s="219">
        <f>0</f>
        <v>0</v>
      </c>
      <c r="F26" s="120"/>
      <c r="P26" s="13"/>
      <c r="Q26" s="13"/>
    </row>
    <row r="27" spans="1:37" x14ac:dyDescent="0.25">
      <c r="F27" s="120"/>
      <c r="P27" s="13"/>
      <c r="Q27" s="13"/>
    </row>
    <row r="28" spans="1:37" x14ac:dyDescent="0.25">
      <c r="F28" s="120"/>
      <c r="P28" s="13"/>
      <c r="Q28" s="13"/>
    </row>
    <row r="29" spans="1:37" x14ac:dyDescent="0.25">
      <c r="F29" s="120"/>
      <c r="P29" s="13"/>
      <c r="Q29" s="13"/>
    </row>
    <row r="30" spans="1:37" x14ac:dyDescent="0.25">
      <c r="F30" s="120"/>
      <c r="P30" s="13"/>
      <c r="Q30" s="13"/>
    </row>
    <row r="31" spans="1:37" x14ac:dyDescent="0.25">
      <c r="P31" s="13"/>
      <c r="Q31" s="13"/>
    </row>
    <row r="32" spans="1:37" x14ac:dyDescent="0.25">
      <c r="F32" s="154"/>
      <c r="P32" s="13"/>
      <c r="Q32" s="13"/>
    </row>
    <row r="33" spans="5:17" x14ac:dyDescent="0.25">
      <c r="F33" s="154"/>
      <c r="P33" s="13"/>
      <c r="Q33" s="13"/>
    </row>
    <row r="34" spans="5:17" x14ac:dyDescent="0.25">
      <c r="F34" s="120"/>
      <c r="P34" s="13"/>
      <c r="Q34" s="13"/>
    </row>
    <row r="35" spans="5:17" x14ac:dyDescent="0.25">
      <c r="F35" s="120"/>
      <c r="P35" s="13"/>
      <c r="Q35" s="13"/>
    </row>
    <row r="36" spans="5:17" x14ac:dyDescent="0.25">
      <c r="F36" s="120"/>
      <c r="P36" s="13"/>
      <c r="Q36" s="13"/>
    </row>
    <row r="37" spans="5:17" x14ac:dyDescent="0.25">
      <c r="F37" s="154"/>
      <c r="P37" s="13"/>
      <c r="Q37" s="13"/>
    </row>
    <row r="38" spans="5:17" x14ac:dyDescent="0.25">
      <c r="F38" s="120"/>
      <c r="P38" s="13"/>
      <c r="Q38" s="13"/>
    </row>
    <row r="39" spans="5:17" x14ac:dyDescent="0.25">
      <c r="F39" s="154"/>
      <c r="P39" s="13"/>
      <c r="Q39" s="13"/>
    </row>
    <row r="40" spans="5:17" x14ac:dyDescent="0.25">
      <c r="E40" s="108"/>
      <c r="F40" s="122"/>
      <c r="G40" s="108"/>
      <c r="P40" s="13"/>
      <c r="Q40" s="13"/>
    </row>
    <row r="41" spans="5:17" x14ac:dyDescent="0.25">
      <c r="F41" s="120"/>
      <c r="P41" s="13"/>
      <c r="Q41" s="13"/>
    </row>
    <row r="42" spans="5:17" x14ac:dyDescent="0.25">
      <c r="F42" s="120"/>
      <c r="P42" s="13"/>
      <c r="Q42" s="13"/>
    </row>
    <row r="43" spans="5:17" x14ac:dyDescent="0.25">
      <c r="F43" s="154"/>
      <c r="P43" s="13"/>
      <c r="Q43" s="13"/>
    </row>
    <row r="44" spans="5:17" x14ac:dyDescent="0.25">
      <c r="F44" s="154"/>
      <c r="P44" s="13"/>
      <c r="Q44" s="13"/>
    </row>
    <row r="45" spans="5:17" x14ac:dyDescent="0.25">
      <c r="E45" s="156"/>
      <c r="F45" s="122"/>
      <c r="G45" s="156"/>
      <c r="P45" s="13"/>
      <c r="Q45" s="13"/>
    </row>
    <row r="46" spans="5:17" x14ac:dyDescent="0.25">
      <c r="E46" s="156"/>
      <c r="F46" s="122"/>
      <c r="G46" s="156"/>
      <c r="P46" s="13"/>
      <c r="Q46" s="13"/>
    </row>
    <row r="47" spans="5:17" x14ac:dyDescent="0.25">
      <c r="F47" s="120"/>
      <c r="P47" s="13"/>
      <c r="Q47" s="13"/>
    </row>
    <row r="48" spans="5:17" x14ac:dyDescent="0.25">
      <c r="F48" s="154"/>
      <c r="P48" s="13"/>
      <c r="Q48" s="13"/>
    </row>
    <row r="49" spans="5:17" x14ac:dyDescent="0.25">
      <c r="F49" s="154"/>
      <c r="P49" s="13"/>
      <c r="Q49" s="13"/>
    </row>
    <row r="50" spans="5:17" x14ac:dyDescent="0.25">
      <c r="E50" s="156"/>
      <c r="F50" s="122"/>
      <c r="G50" s="156"/>
      <c r="P50" s="13"/>
      <c r="Q50" s="13"/>
    </row>
    <row r="51" spans="5:17" x14ac:dyDescent="0.25">
      <c r="E51" s="108"/>
      <c r="F51" s="122"/>
      <c r="G51" s="108"/>
      <c r="P51" s="13"/>
      <c r="Q51" s="13"/>
    </row>
    <row r="52" spans="5:17" x14ac:dyDescent="0.25">
      <c r="F52" s="154"/>
      <c r="P52" s="13"/>
      <c r="Q52" s="13"/>
    </row>
    <row r="53" spans="5:17" x14ac:dyDescent="0.25">
      <c r="E53" s="108"/>
      <c r="F53" s="122"/>
      <c r="G53" s="108"/>
      <c r="P53" s="13"/>
      <c r="Q53" s="13"/>
    </row>
    <row r="54" spans="5:17" x14ac:dyDescent="0.25">
      <c r="F54" s="120"/>
      <c r="P54" s="13"/>
      <c r="Q54" s="13"/>
    </row>
    <row r="55" spans="5:17" x14ac:dyDescent="0.25">
      <c r="F55" s="120"/>
      <c r="P55" s="13"/>
      <c r="Q55" s="13"/>
    </row>
    <row r="56" spans="5:17" x14ac:dyDescent="0.25">
      <c r="F56" s="120"/>
      <c r="P56" s="13"/>
      <c r="Q56" s="13"/>
    </row>
    <row r="57" spans="5:17" x14ac:dyDescent="0.25">
      <c r="F57" s="154"/>
      <c r="P57" s="13"/>
      <c r="Q57" s="13"/>
    </row>
    <row r="58" spans="5:17" x14ac:dyDescent="0.25">
      <c r="F58" s="154"/>
      <c r="P58" s="13"/>
      <c r="Q58" s="13"/>
    </row>
    <row r="59" spans="5:17" x14ac:dyDescent="0.25">
      <c r="F59" s="120"/>
      <c r="P59" s="13"/>
      <c r="Q59" s="13"/>
    </row>
    <row r="60" spans="5:17" x14ac:dyDescent="0.25">
      <c r="F60" s="154"/>
      <c r="P60" s="13"/>
      <c r="Q60" s="13"/>
    </row>
    <row r="61" spans="5:17" x14ac:dyDescent="0.25">
      <c r="F61" s="120"/>
      <c r="P61" s="13"/>
      <c r="Q61" s="13"/>
    </row>
    <row r="62" spans="5:17" x14ac:dyDescent="0.25">
      <c r="E62" s="108"/>
      <c r="F62" s="122"/>
      <c r="G62" s="108"/>
      <c r="P62" s="13"/>
      <c r="Q62" s="13"/>
    </row>
    <row r="63" spans="5:17" x14ac:dyDescent="0.25">
      <c r="E63" s="156"/>
      <c r="F63" s="122"/>
      <c r="G63" s="156"/>
      <c r="P63" s="13"/>
      <c r="Q63" s="13"/>
    </row>
    <row r="64" spans="5:17" x14ac:dyDescent="0.25">
      <c r="F64" s="120"/>
      <c r="P64" s="13"/>
      <c r="Q64" s="13"/>
    </row>
    <row r="65" spans="5:17" x14ac:dyDescent="0.25">
      <c r="F65" s="120"/>
      <c r="P65" s="13"/>
      <c r="Q65" s="13"/>
    </row>
    <row r="66" spans="5:17" x14ac:dyDescent="0.25">
      <c r="E66" s="156"/>
      <c r="F66" s="154"/>
      <c r="G66" s="156"/>
      <c r="P66" s="13"/>
      <c r="Q66" s="13"/>
    </row>
    <row r="67" spans="5:17" x14ac:dyDescent="0.25">
      <c r="E67" s="156"/>
      <c r="F67" s="154"/>
      <c r="G67" s="156"/>
      <c r="P67" s="13"/>
      <c r="Q67" s="13"/>
    </row>
    <row r="68" spans="5:17" x14ac:dyDescent="0.25">
      <c r="F68" s="120"/>
      <c r="P68" s="13"/>
      <c r="Q68" s="13"/>
    </row>
    <row r="69" spans="5:17" x14ac:dyDescent="0.25">
      <c r="F69" s="120"/>
      <c r="P69" s="13"/>
      <c r="Q69" s="13"/>
    </row>
    <row r="70" spans="5:17" x14ac:dyDescent="0.25">
      <c r="E70" s="156"/>
      <c r="F70" s="122"/>
      <c r="G70" s="156"/>
      <c r="P70" s="13"/>
      <c r="Q70" s="13"/>
    </row>
    <row r="71" spans="5:17" x14ac:dyDescent="0.25">
      <c r="F71" s="120"/>
      <c r="P71" s="13"/>
      <c r="Q71" s="13"/>
    </row>
    <row r="72" spans="5:17" x14ac:dyDescent="0.25">
      <c r="F72" s="120"/>
      <c r="P72" s="13"/>
      <c r="Q72" s="13"/>
    </row>
    <row r="73" spans="5:17" x14ac:dyDescent="0.25">
      <c r="E73" s="156"/>
      <c r="F73" s="154"/>
      <c r="G73" s="156"/>
      <c r="P73" s="13"/>
      <c r="Q73" s="13"/>
    </row>
    <row r="74" spans="5:17" x14ac:dyDescent="0.25">
      <c r="F74" s="120"/>
      <c r="P74" s="13"/>
      <c r="Q74" s="13"/>
    </row>
    <row r="75" spans="5:17" x14ac:dyDescent="0.25">
      <c r="E75" s="156"/>
      <c r="F75" s="154"/>
      <c r="G75" s="156"/>
      <c r="P75" s="13"/>
      <c r="Q75" s="13"/>
    </row>
    <row r="76" spans="5:17" x14ac:dyDescent="0.25">
      <c r="E76" s="108"/>
      <c r="F76" s="122"/>
      <c r="G76" s="108"/>
      <c r="P76" s="13"/>
      <c r="Q76" s="13"/>
    </row>
    <row r="77" spans="5:17" x14ac:dyDescent="0.25">
      <c r="F77" s="154"/>
      <c r="P77" s="13"/>
      <c r="Q77" s="13"/>
    </row>
    <row r="78" spans="5:17" x14ac:dyDescent="0.25">
      <c r="E78" s="156"/>
      <c r="F78" s="122"/>
      <c r="G78" s="156"/>
      <c r="P78" s="13"/>
      <c r="Q78" s="13"/>
    </row>
    <row r="79" spans="5:17" x14ac:dyDescent="0.25">
      <c r="F79" s="120"/>
      <c r="P79" s="13"/>
      <c r="Q79" s="13"/>
    </row>
    <row r="80" spans="5:17" x14ac:dyDescent="0.25">
      <c r="F80" s="120"/>
      <c r="P80" s="13"/>
      <c r="Q80" s="13"/>
    </row>
    <row r="81" spans="5:17" x14ac:dyDescent="0.25">
      <c r="E81" s="156"/>
      <c r="F81" s="154"/>
      <c r="G81" s="156"/>
      <c r="P81" s="13"/>
      <c r="Q81" s="13"/>
    </row>
    <row r="82" spans="5:17" x14ac:dyDescent="0.25">
      <c r="E82" s="156"/>
      <c r="F82" s="154"/>
      <c r="G82" s="156"/>
      <c r="P82" s="13"/>
      <c r="Q82" s="13"/>
    </row>
    <row r="83" spans="5:17" x14ac:dyDescent="0.25">
      <c r="E83" s="108"/>
      <c r="F83" s="122"/>
      <c r="G83" s="108"/>
      <c r="P83" s="13"/>
      <c r="Q83" s="13"/>
    </row>
    <row r="84" spans="5:17" x14ac:dyDescent="0.25">
      <c r="E84" s="156"/>
      <c r="F84" s="154"/>
      <c r="G84" s="156"/>
      <c r="P84" s="13"/>
      <c r="Q84" s="13"/>
    </row>
    <row r="85" spans="5:17" x14ac:dyDescent="0.25">
      <c r="E85" s="156"/>
      <c r="F85" s="154"/>
      <c r="G85" s="156"/>
      <c r="P85" s="13"/>
      <c r="Q85" s="13"/>
    </row>
    <row r="86" spans="5:17" x14ac:dyDescent="0.25">
      <c r="F86" s="120"/>
      <c r="P86" s="13"/>
      <c r="Q86" s="13"/>
    </row>
    <row r="87" spans="5:17" x14ac:dyDescent="0.25">
      <c r="F87" s="120"/>
      <c r="P87" s="13"/>
      <c r="Q87" s="13"/>
    </row>
    <row r="88" spans="5:17" x14ac:dyDescent="0.25">
      <c r="F88" s="154"/>
      <c r="P88" s="13"/>
      <c r="Q88" s="13"/>
    </row>
    <row r="89" spans="5:17" x14ac:dyDescent="0.25">
      <c r="F89" s="154"/>
      <c r="P89" s="13"/>
      <c r="Q89" s="13"/>
    </row>
    <row r="90" spans="5:17" x14ac:dyDescent="0.25">
      <c r="F90" s="120"/>
      <c r="P90" s="13"/>
      <c r="Q90" s="13"/>
    </row>
    <row r="91" spans="5:17" x14ac:dyDescent="0.25">
      <c r="E91" s="156"/>
      <c r="F91" s="154"/>
      <c r="G91" s="156"/>
      <c r="P91" s="13"/>
      <c r="Q91" s="13"/>
    </row>
    <row r="92" spans="5:17" x14ac:dyDescent="0.25">
      <c r="F92" s="120"/>
      <c r="P92" s="13"/>
      <c r="Q92" s="13"/>
    </row>
    <row r="93" spans="5:17" x14ac:dyDescent="0.25">
      <c r="F93" s="120"/>
      <c r="P93" s="13"/>
      <c r="Q93" s="13"/>
    </row>
    <row r="94" spans="5:17" x14ac:dyDescent="0.25">
      <c r="F94" s="120"/>
      <c r="P94" s="13"/>
      <c r="Q94" s="13"/>
    </row>
    <row r="95" spans="5:17" x14ac:dyDescent="0.25">
      <c r="F95" s="154"/>
      <c r="P95" s="13"/>
      <c r="Q95" s="13"/>
    </row>
    <row r="96" spans="5:17" x14ac:dyDescent="0.25">
      <c r="F96" s="154"/>
      <c r="P96" s="13"/>
      <c r="Q96" s="13"/>
    </row>
    <row r="97" spans="5:17" x14ac:dyDescent="0.25">
      <c r="F97" s="154"/>
      <c r="P97" s="13"/>
      <c r="Q97" s="13"/>
    </row>
    <row r="98" spans="5:17" x14ac:dyDescent="0.25">
      <c r="E98" s="108"/>
      <c r="F98" s="122"/>
      <c r="G98" s="108"/>
      <c r="P98" s="13"/>
      <c r="Q98" s="13"/>
    </row>
    <row r="99" spans="5:17" x14ac:dyDescent="0.25">
      <c r="E99" s="156"/>
      <c r="F99" s="122"/>
      <c r="G99" s="156"/>
      <c r="P99" s="13"/>
      <c r="Q99" s="13"/>
    </row>
    <row r="100" spans="5:17" x14ac:dyDescent="0.25">
      <c r="F100" s="120"/>
      <c r="P100" s="13"/>
      <c r="Q100" s="13"/>
    </row>
    <row r="101" spans="5:17" x14ac:dyDescent="0.25">
      <c r="F101" s="154"/>
      <c r="P101" s="13"/>
      <c r="Q101" s="13"/>
    </row>
    <row r="102" spans="5:17" x14ac:dyDescent="0.25">
      <c r="F102" s="154"/>
      <c r="P102" s="13"/>
      <c r="Q102" s="13"/>
    </row>
    <row r="103" spans="5:17" x14ac:dyDescent="0.25">
      <c r="F103" s="120"/>
      <c r="P103" s="13"/>
      <c r="Q103" s="13"/>
    </row>
    <row r="104" spans="5:17" x14ac:dyDescent="0.25">
      <c r="E104" s="156"/>
      <c r="F104" s="122"/>
      <c r="G104" s="156"/>
      <c r="P104" s="13"/>
      <c r="Q104" s="13"/>
    </row>
    <row r="105" spans="5:17" x14ac:dyDescent="0.25">
      <c r="E105" s="156"/>
      <c r="F105" s="122"/>
      <c r="G105" s="156"/>
      <c r="P105" s="13"/>
      <c r="Q105" s="13"/>
    </row>
    <row r="106" spans="5:17" x14ac:dyDescent="0.25">
      <c r="F106" s="154"/>
      <c r="P106" s="13"/>
      <c r="Q106" s="13"/>
    </row>
    <row r="107" spans="5:17" x14ac:dyDescent="0.25">
      <c r="F107" s="120"/>
      <c r="P107" s="13"/>
      <c r="Q107" s="13"/>
    </row>
    <row r="108" spans="5:17" x14ac:dyDescent="0.25">
      <c r="F108" s="120"/>
      <c r="P108" s="13"/>
      <c r="Q108" s="13"/>
    </row>
    <row r="109" spans="5:17" x14ac:dyDescent="0.25">
      <c r="F109" s="154"/>
      <c r="P109" s="13"/>
      <c r="Q109" s="13"/>
    </row>
    <row r="110" spans="5:17" x14ac:dyDescent="0.25">
      <c r="F110" s="120"/>
      <c r="P110" s="13"/>
      <c r="Q110" s="13"/>
    </row>
    <row r="111" spans="5:17" x14ac:dyDescent="0.25">
      <c r="E111" s="156"/>
      <c r="F111" s="122"/>
      <c r="G111" s="156"/>
      <c r="P111" s="13"/>
      <c r="Q111" s="13"/>
    </row>
    <row r="112" spans="5:17" x14ac:dyDescent="0.25">
      <c r="E112" s="108"/>
      <c r="F112" s="122"/>
      <c r="G112" s="108"/>
      <c r="P112" s="13"/>
      <c r="Q112" s="13"/>
    </row>
    <row r="113" spans="5:17" x14ac:dyDescent="0.25">
      <c r="F113" s="154"/>
      <c r="P113" s="13"/>
      <c r="Q113" s="13"/>
    </row>
    <row r="114" spans="5:17" x14ac:dyDescent="0.25">
      <c r="F114" s="154"/>
      <c r="P114" s="13"/>
      <c r="Q114" s="13"/>
    </row>
    <row r="115" spans="5:17" x14ac:dyDescent="0.25">
      <c r="E115" s="156"/>
      <c r="F115" s="122"/>
      <c r="G115" s="156"/>
      <c r="P115" s="13"/>
      <c r="Q115" s="13"/>
    </row>
    <row r="116" spans="5:17" x14ac:dyDescent="0.25">
      <c r="F116" s="154"/>
      <c r="P116" s="13"/>
      <c r="Q116" s="13"/>
    </row>
    <row r="117" spans="5:17" x14ac:dyDescent="0.25">
      <c r="F117" s="120"/>
      <c r="P117" s="13"/>
      <c r="Q117" s="13"/>
    </row>
    <row r="118" spans="5:17" x14ac:dyDescent="0.25">
      <c r="F118" s="120"/>
      <c r="P118" s="13"/>
      <c r="Q118" s="13"/>
    </row>
    <row r="119" spans="5:17" x14ac:dyDescent="0.25">
      <c r="F119" s="154"/>
      <c r="P119" s="13"/>
      <c r="Q119" s="13"/>
    </row>
    <row r="120" spans="5:17" x14ac:dyDescent="0.25">
      <c r="F120" s="120"/>
      <c r="P120" s="13"/>
      <c r="Q120" s="13"/>
    </row>
    <row r="121" spans="5:17" x14ac:dyDescent="0.25">
      <c r="F121" s="154"/>
      <c r="P121" s="13"/>
      <c r="Q121" s="13"/>
    </row>
    <row r="122" spans="5:17" x14ac:dyDescent="0.25">
      <c r="F122" s="120"/>
      <c r="P122" s="13"/>
      <c r="Q122" s="13"/>
    </row>
    <row r="123" spans="5:17" x14ac:dyDescent="0.25">
      <c r="F123" s="154"/>
      <c r="P123" s="13"/>
      <c r="Q123" s="13"/>
    </row>
    <row r="124" spans="5:17" x14ac:dyDescent="0.25">
      <c r="F124" s="154"/>
      <c r="P124" s="13"/>
      <c r="Q124" s="13"/>
    </row>
    <row r="125" spans="5:17" x14ac:dyDescent="0.25">
      <c r="E125" s="108"/>
      <c r="F125" s="122"/>
      <c r="G125" s="108"/>
      <c r="P125" s="13"/>
      <c r="Q125" s="13"/>
    </row>
    <row r="126" spans="5:17" x14ac:dyDescent="0.25">
      <c r="F126" s="154"/>
      <c r="P126" s="13"/>
      <c r="Q126" s="13"/>
    </row>
    <row r="127" spans="5:17" x14ac:dyDescent="0.25">
      <c r="F127" s="120"/>
      <c r="P127" s="13"/>
      <c r="Q127" s="13"/>
    </row>
    <row r="128" spans="5:17" x14ac:dyDescent="0.25">
      <c r="F128" s="154"/>
      <c r="P128" s="13"/>
      <c r="Q128" s="13"/>
    </row>
    <row r="129" spans="6:17" x14ac:dyDescent="0.25">
      <c r="F129" s="154"/>
      <c r="P129" s="13"/>
      <c r="Q129" s="13"/>
    </row>
    <row r="130" spans="6:17" x14ac:dyDescent="0.25">
      <c r="F130" s="120"/>
      <c r="P130" s="13"/>
      <c r="Q130" s="13"/>
    </row>
    <row r="131" spans="6:17" x14ac:dyDescent="0.25">
      <c r="F131" s="154"/>
      <c r="P131" s="13"/>
      <c r="Q131" s="13"/>
    </row>
    <row r="132" spans="6:17" x14ac:dyDescent="0.25">
      <c r="F132" s="154"/>
      <c r="P132" s="13"/>
      <c r="Q132" s="13"/>
    </row>
    <row r="133" spans="6:17" x14ac:dyDescent="0.25">
      <c r="F133" s="154"/>
      <c r="P133" s="13"/>
      <c r="Q133" s="13"/>
    </row>
    <row r="134" spans="6:17" x14ac:dyDescent="0.25">
      <c r="F134" s="120"/>
      <c r="P134" s="13"/>
      <c r="Q134" s="13"/>
    </row>
    <row r="135" spans="6:17" x14ac:dyDescent="0.25">
      <c r="F135" s="120"/>
      <c r="P135" s="13"/>
      <c r="Q135" s="13"/>
    </row>
    <row r="136" spans="6:17" x14ac:dyDescent="0.25">
      <c r="F136" s="120"/>
      <c r="P136" s="13"/>
      <c r="Q136" s="13"/>
    </row>
    <row r="137" spans="6:17" x14ac:dyDescent="0.25">
      <c r="F137" s="154"/>
      <c r="P137" s="13"/>
      <c r="Q137" s="13"/>
    </row>
    <row r="138" spans="6:17" x14ac:dyDescent="0.25">
      <c r="F138" s="154"/>
      <c r="P138" s="13"/>
      <c r="Q138" s="13"/>
    </row>
    <row r="139" spans="6:17" x14ac:dyDescent="0.25">
      <c r="F139" s="120"/>
      <c r="P139" s="13"/>
      <c r="Q139" s="13"/>
    </row>
    <row r="140" spans="6:17" x14ac:dyDescent="0.25">
      <c r="F140" s="154"/>
      <c r="P140" s="13"/>
      <c r="Q140" s="13"/>
    </row>
    <row r="141" spans="6:17" x14ac:dyDescent="0.25">
      <c r="F141" s="154"/>
      <c r="P141" s="13"/>
      <c r="Q141" s="13"/>
    </row>
    <row r="142" spans="6:17" x14ac:dyDescent="0.25">
      <c r="F142" s="154"/>
      <c r="P142" s="13"/>
      <c r="Q142" s="13"/>
    </row>
    <row r="143" spans="6:17" x14ac:dyDescent="0.25">
      <c r="F143" s="120"/>
      <c r="P143" s="13"/>
      <c r="Q143" s="13"/>
    </row>
    <row r="144" spans="6:17" x14ac:dyDescent="0.25">
      <c r="F144" s="120"/>
      <c r="P144" s="13"/>
      <c r="Q144" s="13"/>
    </row>
    <row r="145" spans="5:17" x14ac:dyDescent="0.25">
      <c r="F145" s="154"/>
      <c r="P145" s="13"/>
      <c r="Q145" s="13"/>
    </row>
    <row r="146" spans="5:17" x14ac:dyDescent="0.25">
      <c r="F146" s="120"/>
      <c r="P146" s="13"/>
      <c r="Q146" s="13"/>
    </row>
    <row r="147" spans="5:17" x14ac:dyDescent="0.25">
      <c r="F147" s="154"/>
      <c r="P147" s="13"/>
      <c r="Q147" s="13"/>
    </row>
    <row r="148" spans="5:17" x14ac:dyDescent="0.25">
      <c r="F148" s="120"/>
      <c r="P148" s="13"/>
      <c r="Q148" s="13"/>
    </row>
    <row r="149" spans="5:17" x14ac:dyDescent="0.25">
      <c r="E149" s="156"/>
      <c r="F149" s="122"/>
      <c r="G149" s="156"/>
      <c r="P149" s="13"/>
      <c r="Q149" s="13"/>
    </row>
    <row r="150" spans="5:17" x14ac:dyDescent="0.25">
      <c r="F150" s="120"/>
      <c r="P150" s="13"/>
      <c r="Q150" s="13"/>
    </row>
    <row r="151" spans="5:17" x14ac:dyDescent="0.25">
      <c r="F151" s="120"/>
      <c r="P151" s="13"/>
      <c r="Q151" s="13"/>
    </row>
    <row r="152" spans="5:17" x14ac:dyDescent="0.25">
      <c r="F152" s="154"/>
      <c r="P152" s="13"/>
      <c r="Q152" s="13"/>
    </row>
    <row r="153" spans="5:17" x14ac:dyDescent="0.25">
      <c r="E153" s="156"/>
      <c r="F153" s="122"/>
      <c r="G153" s="156"/>
      <c r="P153" s="13"/>
      <c r="Q153" s="13"/>
    </row>
    <row r="154" spans="5:17" x14ac:dyDescent="0.25">
      <c r="F154" s="120"/>
      <c r="P154" s="13"/>
      <c r="Q154" s="13"/>
    </row>
    <row r="155" spans="5:17" x14ac:dyDescent="0.25">
      <c r="F155" s="154"/>
      <c r="P155" s="13"/>
      <c r="Q155" s="13"/>
    </row>
    <row r="156" spans="5:17" x14ac:dyDescent="0.25">
      <c r="F156" s="120"/>
      <c r="P156" s="13"/>
      <c r="Q156" s="13"/>
    </row>
    <row r="157" spans="5:17" x14ac:dyDescent="0.25">
      <c r="F157" s="120"/>
      <c r="P157" s="13"/>
      <c r="Q157" s="13"/>
    </row>
    <row r="158" spans="5:17" x14ac:dyDescent="0.25">
      <c r="F158" s="120"/>
      <c r="P158" s="13"/>
      <c r="Q158" s="13"/>
    </row>
    <row r="159" spans="5:17" x14ac:dyDescent="0.25">
      <c r="F159" s="120"/>
      <c r="P159" s="13"/>
      <c r="Q159" s="13"/>
    </row>
    <row r="160" spans="5:17" x14ac:dyDescent="0.25">
      <c r="F160" s="120"/>
      <c r="P160" s="13"/>
      <c r="Q160" s="13"/>
    </row>
    <row r="161" spans="5:17" x14ac:dyDescent="0.25">
      <c r="E161" s="156"/>
      <c r="F161" s="122"/>
      <c r="G161" s="156"/>
      <c r="P161" s="13"/>
      <c r="Q161" s="13"/>
    </row>
    <row r="162" spans="5:17" x14ac:dyDescent="0.25">
      <c r="F162" s="154"/>
      <c r="P162" s="13"/>
      <c r="Q162" s="13"/>
    </row>
    <row r="163" spans="5:17" x14ac:dyDescent="0.25">
      <c r="F163" s="120"/>
      <c r="P163" s="13"/>
      <c r="Q163" s="13"/>
    </row>
    <row r="164" spans="5:17" x14ac:dyDescent="0.25">
      <c r="F164" s="154"/>
      <c r="P164" s="13"/>
      <c r="Q164" s="13"/>
    </row>
    <row r="165" spans="5:17" x14ac:dyDescent="0.25">
      <c r="F165" s="154"/>
      <c r="P165" s="13"/>
      <c r="Q165" s="13"/>
    </row>
    <row r="166" spans="5:17" x14ac:dyDescent="0.25">
      <c r="F166" s="154"/>
      <c r="P166" s="13"/>
      <c r="Q166" s="13"/>
    </row>
    <row r="167" spans="5:17" x14ac:dyDescent="0.25">
      <c r="F167" s="154"/>
      <c r="P167" s="13"/>
      <c r="Q167" s="13"/>
    </row>
    <row r="168" spans="5:17" x14ac:dyDescent="0.25">
      <c r="F168" s="154"/>
      <c r="P168" s="13"/>
      <c r="Q168" s="13"/>
    </row>
    <row r="169" spans="5:17" x14ac:dyDescent="0.25">
      <c r="F169" s="120"/>
      <c r="P169" s="13"/>
      <c r="Q169" s="13"/>
    </row>
    <row r="170" spans="5:17" x14ac:dyDescent="0.25">
      <c r="F170" s="120"/>
      <c r="P170" s="13"/>
      <c r="Q170" s="13"/>
    </row>
    <row r="171" spans="5:17" x14ac:dyDescent="0.25">
      <c r="F171" s="154"/>
      <c r="P171" s="13"/>
      <c r="Q171" s="13"/>
    </row>
    <row r="172" spans="5:17" x14ac:dyDescent="0.25">
      <c r="E172" s="156"/>
      <c r="F172" s="154"/>
      <c r="G172" s="156"/>
      <c r="P172" s="13"/>
      <c r="Q172" s="13"/>
    </row>
    <row r="173" spans="5:17" x14ac:dyDescent="0.25">
      <c r="F173" s="120"/>
      <c r="P173" s="13"/>
      <c r="Q173" s="13"/>
    </row>
    <row r="174" spans="5:17" x14ac:dyDescent="0.25">
      <c r="F174" s="154"/>
      <c r="P174" s="13"/>
      <c r="Q174" s="13"/>
    </row>
    <row r="175" spans="5:17" x14ac:dyDescent="0.25">
      <c r="F175" s="120"/>
      <c r="P175" s="13"/>
      <c r="Q175" s="13"/>
    </row>
    <row r="176" spans="5:17" x14ac:dyDescent="0.25">
      <c r="F176" s="154"/>
      <c r="P176" s="13"/>
      <c r="Q176" s="13"/>
    </row>
    <row r="177" spans="5:17" x14ac:dyDescent="0.25">
      <c r="F177" s="154"/>
      <c r="P177" s="13"/>
      <c r="Q177" s="13"/>
    </row>
    <row r="178" spans="5:17" x14ac:dyDescent="0.25">
      <c r="F178" s="154"/>
      <c r="P178" s="13"/>
      <c r="Q178" s="13"/>
    </row>
    <row r="179" spans="5:17" x14ac:dyDescent="0.25">
      <c r="F179" s="120"/>
      <c r="P179" s="13"/>
      <c r="Q179" s="13"/>
    </row>
    <row r="180" spans="5:17" x14ac:dyDescent="0.25">
      <c r="F180" s="154"/>
      <c r="P180" s="13"/>
      <c r="Q180" s="13"/>
    </row>
    <row r="181" spans="5:17" x14ac:dyDescent="0.25">
      <c r="F181" s="154"/>
      <c r="P181" s="13"/>
      <c r="Q181" s="13"/>
    </row>
    <row r="182" spans="5:17" x14ac:dyDescent="0.25">
      <c r="E182" s="108"/>
      <c r="F182" s="122"/>
      <c r="G182" s="108"/>
      <c r="P182" s="13"/>
      <c r="Q182" s="13"/>
    </row>
    <row r="183" spans="5:17" x14ac:dyDescent="0.25">
      <c r="F183" s="154"/>
      <c r="P183" s="13"/>
      <c r="Q183" s="13"/>
    </row>
    <row r="184" spans="5:17" x14ac:dyDescent="0.25">
      <c r="F184" s="154"/>
      <c r="P184" s="13"/>
      <c r="Q184" s="13"/>
    </row>
    <row r="185" spans="5:17" x14ac:dyDescent="0.25">
      <c r="E185" s="108"/>
      <c r="F185" s="122"/>
      <c r="G185" s="108"/>
      <c r="P185" s="13"/>
      <c r="Q185" s="13"/>
    </row>
    <row r="186" spans="5:17" x14ac:dyDescent="0.25">
      <c r="F186" s="120"/>
      <c r="P186" s="13"/>
      <c r="Q186" s="13"/>
    </row>
    <row r="187" spans="5:17" x14ac:dyDescent="0.25">
      <c r="F187" s="154"/>
      <c r="P187" s="13"/>
      <c r="Q187" s="13"/>
    </row>
    <row r="188" spans="5:17" x14ac:dyDescent="0.25">
      <c r="F188" s="154"/>
      <c r="P188" s="13"/>
      <c r="Q188" s="13"/>
    </row>
    <row r="189" spans="5:17" x14ac:dyDescent="0.25">
      <c r="F189" s="120"/>
      <c r="P189" s="13"/>
      <c r="Q189" s="13"/>
    </row>
    <row r="190" spans="5:17" x14ac:dyDescent="0.25">
      <c r="F190" s="120"/>
      <c r="P190" s="13"/>
      <c r="Q190" s="13"/>
    </row>
    <row r="191" spans="5:17" x14ac:dyDescent="0.25">
      <c r="E191" s="156"/>
      <c r="F191" s="122"/>
      <c r="G191" s="156"/>
      <c r="P191" s="13"/>
      <c r="Q191" s="13"/>
    </row>
    <row r="192" spans="5:17" x14ac:dyDescent="0.25">
      <c r="F192" s="154"/>
      <c r="P192" s="13"/>
      <c r="Q192" s="13"/>
    </row>
    <row r="193" spans="5:17" x14ac:dyDescent="0.25">
      <c r="F193" s="154"/>
      <c r="P193" s="13"/>
      <c r="Q193" s="13"/>
    </row>
    <row r="194" spans="5:17" x14ac:dyDescent="0.25">
      <c r="F194" s="154"/>
      <c r="P194" s="13"/>
      <c r="Q194" s="13"/>
    </row>
    <row r="195" spans="5:17" x14ac:dyDescent="0.25">
      <c r="F195" s="154"/>
      <c r="P195" s="13"/>
      <c r="Q195" s="13"/>
    </row>
    <row r="196" spans="5:17" x14ac:dyDescent="0.25">
      <c r="F196" s="120"/>
      <c r="P196" s="13"/>
      <c r="Q196" s="13"/>
    </row>
    <row r="197" spans="5:17" x14ac:dyDescent="0.25">
      <c r="F197" s="154"/>
      <c r="P197" s="13"/>
      <c r="Q197" s="13"/>
    </row>
    <row r="198" spans="5:17" x14ac:dyDescent="0.25">
      <c r="F198" s="120"/>
      <c r="P198" s="13"/>
      <c r="Q198" s="13"/>
    </row>
    <row r="199" spans="5:17" x14ac:dyDescent="0.25">
      <c r="E199" s="156"/>
      <c r="F199" s="154"/>
      <c r="G199" s="156"/>
      <c r="P199" s="13"/>
      <c r="Q199" s="13"/>
    </row>
    <row r="200" spans="5:17" x14ac:dyDescent="0.25">
      <c r="F200" s="154"/>
      <c r="P200" s="13"/>
      <c r="Q200" s="13"/>
    </row>
    <row r="201" spans="5:17" x14ac:dyDescent="0.25">
      <c r="F201" s="120"/>
      <c r="P201" s="13"/>
      <c r="Q201" s="13"/>
    </row>
    <row r="202" spans="5:17" x14ac:dyDescent="0.25">
      <c r="F202" s="120"/>
      <c r="P202" s="13"/>
      <c r="Q202" s="13"/>
    </row>
    <row r="203" spans="5:17" x14ac:dyDescent="0.25">
      <c r="E203" s="156"/>
      <c r="F203" s="122"/>
      <c r="G203" s="156"/>
      <c r="P203" s="13"/>
      <c r="Q203" s="13"/>
    </row>
    <row r="204" spans="5:17" x14ac:dyDescent="0.25">
      <c r="F204" s="154"/>
      <c r="P204" s="13"/>
      <c r="Q204" s="13"/>
    </row>
    <row r="205" spans="5:17" x14ac:dyDescent="0.25">
      <c r="F205" s="154"/>
      <c r="P205" s="13"/>
      <c r="Q205" s="13"/>
    </row>
    <row r="206" spans="5:17" x14ac:dyDescent="0.25">
      <c r="F206" s="154"/>
      <c r="P206" s="13"/>
      <c r="Q206" s="13"/>
    </row>
    <row r="207" spans="5:17" x14ac:dyDescent="0.25">
      <c r="F207" s="154"/>
      <c r="P207" s="13"/>
      <c r="Q207" s="13"/>
    </row>
    <row r="208" spans="5:17" x14ac:dyDescent="0.25">
      <c r="F208" s="154"/>
      <c r="P208" s="13"/>
      <c r="Q208" s="13"/>
    </row>
    <row r="209" spans="5:17" x14ac:dyDescent="0.25">
      <c r="F209" s="120"/>
      <c r="P209" s="13"/>
      <c r="Q209" s="13"/>
    </row>
    <row r="210" spans="5:17" x14ac:dyDescent="0.25">
      <c r="E210" s="156"/>
      <c r="F210" s="122"/>
      <c r="G210" s="156"/>
      <c r="P210" s="13"/>
      <c r="Q210" s="13"/>
    </row>
    <row r="211" spans="5:17" x14ac:dyDescent="0.25">
      <c r="F211" s="154"/>
      <c r="P211" s="13"/>
      <c r="Q211" s="13"/>
    </row>
    <row r="212" spans="5:17" x14ac:dyDescent="0.25">
      <c r="F212" s="154"/>
      <c r="P212" s="13"/>
      <c r="Q212" s="13"/>
    </row>
    <row r="213" spans="5:17" x14ac:dyDescent="0.25">
      <c r="E213" s="156"/>
      <c r="F213" s="122"/>
      <c r="G213" s="156"/>
      <c r="P213" s="13"/>
      <c r="Q213" s="13"/>
    </row>
    <row r="214" spans="5:17" x14ac:dyDescent="0.25">
      <c r="F214" s="154"/>
      <c r="P214" s="13"/>
      <c r="Q214" s="13"/>
    </row>
    <row r="215" spans="5:17" x14ac:dyDescent="0.25">
      <c r="E215" s="108"/>
      <c r="F215" s="122"/>
      <c r="G215" s="108"/>
      <c r="P215" s="13"/>
      <c r="Q215" s="13"/>
    </row>
    <row r="216" spans="5:17" x14ac:dyDescent="0.25">
      <c r="F216" s="120"/>
      <c r="P216" s="13"/>
      <c r="Q216" s="13"/>
    </row>
    <row r="217" spans="5:17" x14ac:dyDescent="0.25">
      <c r="E217" s="156"/>
      <c r="F217" s="122"/>
      <c r="G217" s="156"/>
      <c r="P217" s="13"/>
      <c r="Q217" s="13"/>
    </row>
    <row r="218" spans="5:17" x14ac:dyDescent="0.25">
      <c r="F218" s="120"/>
      <c r="P218" s="13"/>
      <c r="Q218" s="13"/>
    </row>
    <row r="219" spans="5:17" x14ac:dyDescent="0.25">
      <c r="F219" s="154"/>
      <c r="P219" s="13"/>
      <c r="Q219" s="13"/>
    </row>
    <row r="220" spans="5:17" x14ac:dyDescent="0.25">
      <c r="F220" s="120"/>
      <c r="P220" s="13"/>
      <c r="Q220" s="13"/>
    </row>
    <row r="221" spans="5:17" x14ac:dyDescent="0.25">
      <c r="E221" s="156"/>
      <c r="F221" s="122"/>
      <c r="G221" s="156"/>
      <c r="P221" s="13"/>
      <c r="Q221" s="13"/>
    </row>
    <row r="222" spans="5:17" x14ac:dyDescent="0.25">
      <c r="F222" s="154"/>
      <c r="P222" s="13"/>
      <c r="Q222" s="13"/>
    </row>
    <row r="223" spans="5:17" x14ac:dyDescent="0.25">
      <c r="F223" s="154"/>
      <c r="P223" s="13"/>
      <c r="Q223" s="13"/>
    </row>
    <row r="224" spans="5:17" x14ac:dyDescent="0.25">
      <c r="F224" s="120"/>
      <c r="P224" s="13"/>
      <c r="Q224" s="13"/>
    </row>
    <row r="225" spans="5:17" x14ac:dyDescent="0.25">
      <c r="F225" s="120"/>
      <c r="P225" s="13"/>
      <c r="Q225" s="13"/>
    </row>
    <row r="226" spans="5:17" x14ac:dyDescent="0.25">
      <c r="F226" s="120"/>
      <c r="P226" s="13"/>
      <c r="Q226" s="13"/>
    </row>
    <row r="227" spans="5:17" x14ac:dyDescent="0.25">
      <c r="F227" s="154"/>
      <c r="P227" s="13"/>
      <c r="Q227" s="13"/>
    </row>
    <row r="228" spans="5:17" x14ac:dyDescent="0.25">
      <c r="F228" s="120"/>
      <c r="P228" s="13"/>
      <c r="Q228" s="13"/>
    </row>
    <row r="229" spans="5:17" x14ac:dyDescent="0.25">
      <c r="E229" s="156"/>
      <c r="F229" s="122"/>
      <c r="G229" s="156"/>
      <c r="P229" s="13"/>
      <c r="Q229" s="13"/>
    </row>
    <row r="230" spans="5:17" x14ac:dyDescent="0.25">
      <c r="E230" s="108"/>
      <c r="F230" s="122"/>
      <c r="G230" s="108"/>
      <c r="P230" s="13"/>
      <c r="Q230" s="13"/>
    </row>
    <row r="231" spans="5:17" x14ac:dyDescent="0.25">
      <c r="F231" s="154"/>
      <c r="P231" s="13"/>
      <c r="Q231" s="13"/>
    </row>
    <row r="232" spans="5:17" x14ac:dyDescent="0.25">
      <c r="E232" s="156"/>
      <c r="F232" s="122"/>
      <c r="G232" s="156"/>
      <c r="P232" s="13"/>
      <c r="Q232" s="13"/>
    </row>
    <row r="233" spans="5:17" x14ac:dyDescent="0.25">
      <c r="F233" s="120"/>
      <c r="P233" s="13"/>
      <c r="Q233" s="13"/>
    </row>
    <row r="234" spans="5:17" x14ac:dyDescent="0.25">
      <c r="F234" s="120"/>
      <c r="P234" s="13"/>
      <c r="Q234" s="13"/>
    </row>
    <row r="235" spans="5:17" x14ac:dyDescent="0.25">
      <c r="F235" s="154"/>
      <c r="P235" s="13"/>
      <c r="Q235" s="13"/>
    </row>
    <row r="236" spans="5:17" x14ac:dyDescent="0.25">
      <c r="F236" s="120"/>
      <c r="P236" s="13"/>
      <c r="Q236" s="13"/>
    </row>
    <row r="237" spans="5:17" x14ac:dyDescent="0.25">
      <c r="F237" s="154"/>
      <c r="P237" s="13"/>
      <c r="Q237" s="13"/>
    </row>
    <row r="238" spans="5:17" x14ac:dyDescent="0.25">
      <c r="P238" s="13"/>
      <c r="Q238" s="13"/>
    </row>
    <row r="239" spans="5:17" x14ac:dyDescent="0.25">
      <c r="F239" s="154"/>
      <c r="P239" s="13"/>
      <c r="Q239" s="13"/>
    </row>
    <row r="240" spans="5:17" x14ac:dyDescent="0.25">
      <c r="F240" s="154"/>
      <c r="P240" s="13"/>
      <c r="Q240" s="13"/>
    </row>
    <row r="241" spans="6:17" x14ac:dyDescent="0.25">
      <c r="F241" s="154"/>
      <c r="P241" s="13"/>
      <c r="Q241" s="13"/>
    </row>
    <row r="242" spans="6:17" x14ac:dyDescent="0.25">
      <c r="F242" s="154"/>
      <c r="P242" s="13"/>
      <c r="Q242" s="13"/>
    </row>
    <row r="243" spans="6:17" x14ac:dyDescent="0.25">
      <c r="F243" s="154"/>
      <c r="P243" s="13"/>
      <c r="Q243" s="13"/>
    </row>
    <row r="244" spans="6:17" x14ac:dyDescent="0.25">
      <c r="F244" s="154"/>
      <c r="P244" s="13"/>
      <c r="Q244" s="13"/>
    </row>
    <row r="245" spans="6:17" x14ac:dyDescent="0.25">
      <c r="F245" s="154"/>
      <c r="P245" s="13"/>
      <c r="Q245" s="13"/>
    </row>
    <row r="246" spans="6:17" x14ac:dyDescent="0.25">
      <c r="F246" s="154"/>
      <c r="P246" s="13"/>
      <c r="Q246" s="13"/>
    </row>
    <row r="247" spans="6:17" x14ac:dyDescent="0.25">
      <c r="F247" s="154"/>
      <c r="P247" s="13"/>
      <c r="Q247" s="13"/>
    </row>
    <row r="248" spans="6:17" x14ac:dyDescent="0.25">
      <c r="F248" s="154"/>
      <c r="P248" s="13"/>
      <c r="Q248" s="13"/>
    </row>
    <row r="249" spans="6:17" x14ac:dyDescent="0.25">
      <c r="F249" s="154"/>
      <c r="P249" s="13"/>
      <c r="Q249" s="13"/>
    </row>
    <row r="250" spans="6:17" x14ac:dyDescent="0.25">
      <c r="F250" s="154"/>
      <c r="P250" s="13"/>
      <c r="Q250" s="13"/>
    </row>
    <row r="251" spans="6:17" x14ac:dyDescent="0.25">
      <c r="F251" s="154"/>
      <c r="P251" s="13"/>
      <c r="Q251" s="13"/>
    </row>
    <row r="252" spans="6:17" x14ac:dyDescent="0.25">
      <c r="F252" s="154"/>
      <c r="P252" s="13"/>
      <c r="Q252" s="13"/>
    </row>
    <row r="253" spans="6:17" x14ac:dyDescent="0.25">
      <c r="F253" s="154"/>
      <c r="P253" s="13"/>
      <c r="Q253" s="13"/>
    </row>
    <row r="254" spans="6:17" x14ac:dyDescent="0.25">
      <c r="F254" s="154"/>
      <c r="P254" s="13"/>
      <c r="Q254" s="13"/>
    </row>
    <row r="255" spans="6:17" x14ac:dyDescent="0.25">
      <c r="F255" s="154"/>
      <c r="P255" s="13"/>
      <c r="Q255" s="13"/>
    </row>
    <row r="256" spans="6:17" x14ac:dyDescent="0.25">
      <c r="F256" s="154"/>
      <c r="P256" s="13"/>
      <c r="Q256" s="13"/>
    </row>
    <row r="257" spans="5:17" x14ac:dyDescent="0.25">
      <c r="F257" s="120"/>
      <c r="P257" s="13"/>
      <c r="Q257" s="13"/>
    </row>
    <row r="258" spans="5:17" x14ac:dyDescent="0.25">
      <c r="E258" s="156"/>
      <c r="F258" s="154"/>
      <c r="G258" s="156"/>
      <c r="P258" s="13"/>
      <c r="Q258" s="13"/>
    </row>
    <row r="259" spans="5:17" x14ac:dyDescent="0.25">
      <c r="E259" s="156"/>
      <c r="F259" s="154"/>
      <c r="G259" s="156"/>
      <c r="P259" s="13"/>
      <c r="Q259" s="13"/>
    </row>
    <row r="260" spans="5:17" x14ac:dyDescent="0.25">
      <c r="E260" s="156"/>
      <c r="F260" s="154"/>
      <c r="G260" s="156"/>
      <c r="P260" s="13"/>
      <c r="Q260" s="13"/>
    </row>
    <row r="261" spans="5:17" x14ac:dyDescent="0.25">
      <c r="E261" s="156"/>
      <c r="F261" s="154"/>
      <c r="G261" s="156"/>
      <c r="P261" s="13"/>
      <c r="Q261" s="13"/>
    </row>
    <row r="262" spans="5:17" x14ac:dyDescent="0.25">
      <c r="E262" s="156"/>
      <c r="F262" s="154"/>
      <c r="G262" s="156"/>
      <c r="P262" s="13"/>
      <c r="Q262" s="13"/>
    </row>
    <row r="263" spans="5:17" x14ac:dyDescent="0.25">
      <c r="E263" s="156"/>
      <c r="F263" s="154"/>
      <c r="G263" s="156"/>
      <c r="P263" s="13"/>
      <c r="Q263" s="13"/>
    </row>
    <row r="264" spans="5:17" x14ac:dyDescent="0.25">
      <c r="E264" s="156"/>
      <c r="F264" s="154"/>
      <c r="G264" s="156"/>
      <c r="P264" s="13"/>
      <c r="Q264" s="13"/>
    </row>
    <row r="265" spans="5:17" x14ac:dyDescent="0.25">
      <c r="E265" s="156"/>
      <c r="F265" s="154"/>
      <c r="G265" s="156"/>
      <c r="P265" s="13"/>
      <c r="Q265" s="13"/>
    </row>
    <row r="266" spans="5:17" x14ac:dyDescent="0.25">
      <c r="E266" s="156"/>
      <c r="F266" s="154"/>
      <c r="G266" s="156"/>
      <c r="P266" s="13"/>
      <c r="Q266" s="13"/>
    </row>
    <row r="267" spans="5:17" x14ac:dyDescent="0.25">
      <c r="F267" s="154"/>
      <c r="P267" s="13"/>
      <c r="Q267" s="13"/>
    </row>
    <row r="268" spans="5:17" x14ac:dyDescent="0.25">
      <c r="F268" s="154"/>
      <c r="P268" s="13"/>
      <c r="Q268" s="13"/>
    </row>
    <row r="269" spans="5:17" x14ac:dyDescent="0.25">
      <c r="F269" s="154"/>
      <c r="P269" s="13"/>
      <c r="Q269" s="13"/>
    </row>
    <row r="270" spans="5:17" x14ac:dyDescent="0.25">
      <c r="E270" s="108"/>
      <c r="F270" s="122"/>
      <c r="G270" s="108"/>
      <c r="P270" s="13"/>
      <c r="Q270" s="13"/>
    </row>
    <row r="271" spans="5:17" x14ac:dyDescent="0.25">
      <c r="F271" s="154"/>
      <c r="P271" s="13"/>
      <c r="Q271" s="13"/>
    </row>
    <row r="272" spans="5:17" x14ac:dyDescent="0.25">
      <c r="F272" s="154"/>
      <c r="P272" s="13"/>
      <c r="Q272" s="13"/>
    </row>
    <row r="273" spans="5:17" x14ac:dyDescent="0.25">
      <c r="E273" s="108"/>
      <c r="F273" s="122"/>
      <c r="G273" s="108"/>
      <c r="P273" s="13"/>
      <c r="Q273" s="13"/>
    </row>
    <row r="274" spans="5:17" x14ac:dyDescent="0.25">
      <c r="F274" s="154"/>
      <c r="P274" s="13"/>
      <c r="Q274" s="13"/>
    </row>
    <row r="275" spans="5:17" x14ac:dyDescent="0.25">
      <c r="F275" s="154"/>
      <c r="P275" s="13"/>
      <c r="Q275" s="13"/>
    </row>
    <row r="276" spans="5:17" x14ac:dyDescent="0.25">
      <c r="P276" s="13"/>
      <c r="Q276" s="13"/>
    </row>
    <row r="277" spans="5:17" x14ac:dyDescent="0.25">
      <c r="F277" s="154"/>
      <c r="P277" s="13"/>
      <c r="Q277" s="13"/>
    </row>
    <row r="278" spans="5:17" x14ac:dyDescent="0.25">
      <c r="F278" s="154"/>
      <c r="P278" s="13"/>
      <c r="Q278" s="13"/>
    </row>
    <row r="279" spans="5:17" x14ac:dyDescent="0.25">
      <c r="F279" s="154"/>
      <c r="P279" s="13"/>
      <c r="Q279" s="13"/>
    </row>
    <row r="280" spans="5:17" x14ac:dyDescent="0.25">
      <c r="F280" s="154"/>
      <c r="P280" s="13"/>
      <c r="Q280" s="13"/>
    </row>
    <row r="281" spans="5:17" x14ac:dyDescent="0.25">
      <c r="F281" s="154"/>
      <c r="P281" s="13"/>
      <c r="Q281" s="13"/>
    </row>
    <row r="282" spans="5:17" x14ac:dyDescent="0.25">
      <c r="F282" s="154"/>
      <c r="P282" s="13"/>
      <c r="Q282" s="13"/>
    </row>
    <row r="283" spans="5:17" x14ac:dyDescent="0.25">
      <c r="F283" s="154"/>
      <c r="P283" s="13"/>
      <c r="Q283" s="13"/>
    </row>
    <row r="284" spans="5:17" x14ac:dyDescent="0.25">
      <c r="E284" s="108"/>
      <c r="F284" s="101"/>
      <c r="G284" s="108"/>
      <c r="P284" s="13"/>
      <c r="Q284" s="13"/>
    </row>
    <row r="285" spans="5:17" x14ac:dyDescent="0.25">
      <c r="E285" s="108"/>
      <c r="F285" s="101"/>
      <c r="G285" s="108"/>
      <c r="P285" s="13"/>
      <c r="Q285" s="13"/>
    </row>
    <row r="286" spans="5:17" x14ac:dyDescent="0.25">
      <c r="F286" s="154"/>
      <c r="P286" s="13"/>
      <c r="Q286" s="13"/>
    </row>
    <row r="287" spans="5:17" x14ac:dyDescent="0.25">
      <c r="F287" s="154"/>
      <c r="P287" s="13"/>
      <c r="Q287" s="13"/>
    </row>
    <row r="288" spans="5:17" x14ac:dyDescent="0.25">
      <c r="E288" s="108"/>
      <c r="F288" s="122"/>
      <c r="G288" s="108"/>
      <c r="P288" s="13"/>
      <c r="Q288" s="13"/>
    </row>
    <row r="289" spans="5:17" x14ac:dyDescent="0.25">
      <c r="F289" s="154"/>
      <c r="P289" s="13"/>
      <c r="Q289" s="13"/>
    </row>
    <row r="290" spans="5:17" x14ac:dyDescent="0.25">
      <c r="E290" s="108"/>
      <c r="F290" s="122"/>
      <c r="G290" s="108"/>
      <c r="P290" s="13"/>
      <c r="Q290" s="13"/>
    </row>
    <row r="291" spans="5:17" x14ac:dyDescent="0.25">
      <c r="F291" s="154"/>
      <c r="P291" s="13"/>
      <c r="Q291" s="13"/>
    </row>
    <row r="292" spans="5:17" x14ac:dyDescent="0.25">
      <c r="E292" s="156"/>
      <c r="F292" s="154"/>
      <c r="G292" s="156"/>
      <c r="P292" s="13"/>
      <c r="Q292" s="13"/>
    </row>
    <row r="293" spans="5:17" x14ac:dyDescent="0.25">
      <c r="E293" s="156"/>
      <c r="F293" s="154"/>
      <c r="G293" s="156"/>
      <c r="P293" s="13"/>
      <c r="Q293" s="13"/>
    </row>
    <row r="294" spans="5:17" x14ac:dyDescent="0.25">
      <c r="F294" s="154"/>
      <c r="P294" s="13"/>
      <c r="Q294" s="13"/>
    </row>
    <row r="295" spans="5:17" x14ac:dyDescent="0.25">
      <c r="F295" s="154"/>
      <c r="P295" s="13"/>
      <c r="Q295" s="13"/>
    </row>
    <row r="296" spans="5:17" x14ac:dyDescent="0.25">
      <c r="F296" s="154"/>
      <c r="P296" s="13"/>
      <c r="Q296" s="13"/>
    </row>
    <row r="297" spans="5:17" x14ac:dyDescent="0.25">
      <c r="F297" s="154"/>
      <c r="P297" s="13"/>
      <c r="Q297" s="13"/>
    </row>
    <row r="298" spans="5:17" x14ac:dyDescent="0.25">
      <c r="F298" s="154"/>
      <c r="P298" s="13"/>
      <c r="Q298" s="13"/>
    </row>
    <row r="299" spans="5:17" x14ac:dyDescent="0.25">
      <c r="F299" s="154"/>
      <c r="P299" s="13"/>
      <c r="Q299" s="13"/>
    </row>
    <row r="300" spans="5:17" x14ac:dyDescent="0.25">
      <c r="F300" s="154"/>
      <c r="P300" s="13"/>
      <c r="Q300" s="13"/>
    </row>
    <row r="301" spans="5:17" x14ac:dyDescent="0.25">
      <c r="F301" s="154"/>
      <c r="P301" s="13"/>
      <c r="Q301" s="13"/>
    </row>
    <row r="302" spans="5:17" x14ac:dyDescent="0.25">
      <c r="F302" s="154"/>
      <c r="P302" s="13"/>
      <c r="Q302" s="13"/>
    </row>
    <row r="303" spans="5:17" x14ac:dyDescent="0.25">
      <c r="F303" s="154"/>
      <c r="P303" s="13"/>
      <c r="Q303" s="13"/>
    </row>
    <row r="304" spans="5:17" x14ac:dyDescent="0.25">
      <c r="F304" s="154"/>
      <c r="P304" s="13"/>
      <c r="Q304" s="13"/>
    </row>
    <row r="305" spans="5:17" x14ac:dyDescent="0.25">
      <c r="F305" s="154"/>
      <c r="P305" s="13"/>
      <c r="Q305" s="13"/>
    </row>
    <row r="306" spans="5:17" x14ac:dyDescent="0.25">
      <c r="F306" s="154"/>
      <c r="P306" s="13"/>
      <c r="Q306" s="13"/>
    </row>
    <row r="307" spans="5:17" x14ac:dyDescent="0.25">
      <c r="F307" s="154"/>
      <c r="P307" s="13"/>
      <c r="Q307" s="13"/>
    </row>
    <row r="308" spans="5:17" x14ac:dyDescent="0.25">
      <c r="E308" s="108"/>
      <c r="F308" s="101"/>
      <c r="G308" s="108"/>
      <c r="P308" s="13"/>
      <c r="Q308" s="13"/>
    </row>
    <row r="309" spans="5:17" x14ac:dyDescent="0.25">
      <c r="F309" s="154"/>
      <c r="P309" s="13"/>
      <c r="Q309" s="13"/>
    </row>
    <row r="310" spans="5:17" x14ac:dyDescent="0.25">
      <c r="F310" s="154"/>
      <c r="P310" s="13"/>
      <c r="Q310" s="13"/>
    </row>
    <row r="311" spans="5:17" x14ac:dyDescent="0.25">
      <c r="F311" s="154"/>
      <c r="P311" s="13"/>
      <c r="Q311" s="13"/>
    </row>
    <row r="312" spans="5:17" x14ac:dyDescent="0.25">
      <c r="F312" s="154"/>
      <c r="P312" s="13"/>
      <c r="Q312" s="13"/>
    </row>
    <row r="313" spans="5:17" x14ac:dyDescent="0.25">
      <c r="F313" s="154"/>
      <c r="P313" s="13"/>
      <c r="Q313" s="13"/>
    </row>
    <row r="314" spans="5:17" x14ac:dyDescent="0.25">
      <c r="F314" s="154"/>
      <c r="P314" s="13"/>
      <c r="Q314" s="13"/>
    </row>
    <row r="315" spans="5:17" x14ac:dyDescent="0.25">
      <c r="F315" s="154"/>
      <c r="P315" s="13"/>
      <c r="Q315" s="13"/>
    </row>
    <row r="316" spans="5:17" x14ac:dyDescent="0.25">
      <c r="F316" s="154"/>
      <c r="P316" s="13"/>
      <c r="Q316" s="13"/>
    </row>
    <row r="317" spans="5:17" x14ac:dyDescent="0.25">
      <c r="F317" s="154"/>
      <c r="P317" s="13"/>
      <c r="Q317" s="13"/>
    </row>
    <row r="318" spans="5:17" x14ac:dyDescent="0.25">
      <c r="P318" s="13"/>
      <c r="Q318" s="13"/>
    </row>
    <row r="319" spans="5:17" x14ac:dyDescent="0.25">
      <c r="F319" s="154"/>
      <c r="P319" s="13"/>
      <c r="Q319" s="13"/>
    </row>
    <row r="320" spans="5:17" x14ac:dyDescent="0.25">
      <c r="P320" s="13"/>
      <c r="Q320" s="13"/>
    </row>
    <row r="321" spans="16:17" x14ac:dyDescent="0.25">
      <c r="P321" s="13"/>
      <c r="Q321" s="13"/>
    </row>
    <row r="322" spans="16:17" x14ac:dyDescent="0.25">
      <c r="P322" s="13"/>
      <c r="Q322" s="13"/>
    </row>
    <row r="323" spans="16:17" x14ac:dyDescent="0.25">
      <c r="P323" s="13"/>
      <c r="Q323" s="13"/>
    </row>
    <row r="324" spans="16:17" x14ac:dyDescent="0.25">
      <c r="P324" s="13"/>
      <c r="Q324" s="13"/>
    </row>
    <row r="325" spans="16:17" x14ac:dyDescent="0.25">
      <c r="P325" s="13"/>
      <c r="Q325" s="13"/>
    </row>
    <row r="326" spans="16:17" x14ac:dyDescent="0.25">
      <c r="P326" s="13"/>
      <c r="Q326" s="13"/>
    </row>
    <row r="327" spans="16:17" x14ac:dyDescent="0.25">
      <c r="P327" s="13"/>
      <c r="Q327" s="13"/>
    </row>
    <row r="328" spans="16:17" x14ac:dyDescent="0.25">
      <c r="P328" s="13"/>
      <c r="Q328" s="13"/>
    </row>
    <row r="329" spans="16:17" x14ac:dyDescent="0.25">
      <c r="P329" s="13"/>
      <c r="Q329" s="13"/>
    </row>
    <row r="330" spans="16:17" x14ac:dyDescent="0.25">
      <c r="P330" s="13"/>
      <c r="Q330" s="13"/>
    </row>
    <row r="331" spans="16:17" x14ac:dyDescent="0.25">
      <c r="P331" s="13"/>
      <c r="Q331" s="13"/>
    </row>
    <row r="332" spans="16:17" x14ac:dyDescent="0.25">
      <c r="P332" s="13"/>
      <c r="Q332" s="13"/>
    </row>
    <row r="333" spans="16:17" x14ac:dyDescent="0.25">
      <c r="P333" s="13"/>
      <c r="Q333" s="13"/>
    </row>
    <row r="334" spans="16:17" x14ac:dyDescent="0.25">
      <c r="P334" s="13"/>
      <c r="Q334" s="13"/>
    </row>
    <row r="335" spans="16:17" x14ac:dyDescent="0.25">
      <c r="P335" s="13"/>
      <c r="Q335" s="13"/>
    </row>
    <row r="336" spans="16:17" x14ac:dyDescent="0.25">
      <c r="P336" s="13"/>
      <c r="Q336" s="13"/>
    </row>
    <row r="337" spans="16:17" x14ac:dyDescent="0.25">
      <c r="P337" s="13"/>
      <c r="Q337" s="13"/>
    </row>
    <row r="338" spans="16:17" x14ac:dyDescent="0.25">
      <c r="P338" s="13"/>
      <c r="Q338" s="13"/>
    </row>
    <row r="339" spans="16:17" x14ac:dyDescent="0.25">
      <c r="P339" s="13"/>
      <c r="Q339" s="13"/>
    </row>
    <row r="340" spans="16:17" x14ac:dyDescent="0.25">
      <c r="P340" s="13"/>
      <c r="Q340" s="13"/>
    </row>
    <row r="341" spans="16:17" x14ac:dyDescent="0.25">
      <c r="P341" s="13"/>
      <c r="Q341" s="13"/>
    </row>
    <row r="342" spans="16:17" x14ac:dyDescent="0.25">
      <c r="P342" s="13"/>
      <c r="Q342" s="13"/>
    </row>
    <row r="343" spans="16:17" x14ac:dyDescent="0.25">
      <c r="P343" s="13"/>
      <c r="Q343" s="13"/>
    </row>
    <row r="344" spans="16:17" x14ac:dyDescent="0.25">
      <c r="P344" s="13"/>
      <c r="Q344" s="13"/>
    </row>
    <row r="345" spans="16:17" x14ac:dyDescent="0.25">
      <c r="P345" s="13"/>
      <c r="Q345" s="13"/>
    </row>
    <row r="346" spans="16:17" x14ac:dyDescent="0.25">
      <c r="P346" s="13"/>
      <c r="Q346" s="13"/>
    </row>
    <row r="347" spans="16:17" x14ac:dyDescent="0.25">
      <c r="P347" s="13"/>
      <c r="Q347" s="13"/>
    </row>
    <row r="348" spans="16:17" x14ac:dyDescent="0.25">
      <c r="P348" s="13"/>
      <c r="Q348" s="13"/>
    </row>
    <row r="349" spans="16:17" x14ac:dyDescent="0.25">
      <c r="P349" s="13"/>
      <c r="Q349" s="13"/>
    </row>
    <row r="350" spans="16:17" x14ac:dyDescent="0.25">
      <c r="P350" s="13"/>
      <c r="Q350" s="13"/>
    </row>
    <row r="351" spans="16:17" x14ac:dyDescent="0.25">
      <c r="P351" s="13"/>
      <c r="Q351" s="13"/>
    </row>
    <row r="352" spans="16:17" x14ac:dyDescent="0.25">
      <c r="P352" s="13"/>
      <c r="Q352" s="13"/>
    </row>
    <row r="353" spans="16:17" x14ac:dyDescent="0.25">
      <c r="P353" s="13"/>
      <c r="Q353" s="13"/>
    </row>
    <row r="354" spans="16:17" x14ac:dyDescent="0.25">
      <c r="P354" s="13"/>
      <c r="Q354" s="13"/>
    </row>
    <row r="355" spans="16:17" x14ac:dyDescent="0.25">
      <c r="P355" s="13"/>
      <c r="Q355" s="13"/>
    </row>
    <row r="356" spans="16:17" x14ac:dyDescent="0.25">
      <c r="P356" s="13"/>
      <c r="Q356" s="13"/>
    </row>
    <row r="357" spans="16:17" x14ac:dyDescent="0.25">
      <c r="P357" s="13"/>
      <c r="Q357" s="13"/>
    </row>
    <row r="358" spans="16:17" x14ac:dyDescent="0.25">
      <c r="P358" s="13"/>
      <c r="Q358" s="13"/>
    </row>
    <row r="359" spans="16:17" x14ac:dyDescent="0.25">
      <c r="P359" s="13"/>
      <c r="Q359" s="13"/>
    </row>
    <row r="360" spans="16:17" x14ac:dyDescent="0.25">
      <c r="P360" s="13"/>
      <c r="Q360" s="13"/>
    </row>
    <row r="361" spans="16:17" x14ac:dyDescent="0.25">
      <c r="P361" s="13"/>
      <c r="Q361" s="13"/>
    </row>
    <row r="362" spans="16:17" x14ac:dyDescent="0.25">
      <c r="P362" s="13"/>
      <c r="Q362" s="13"/>
    </row>
    <row r="363" spans="16:17" x14ac:dyDescent="0.25">
      <c r="P363" s="13"/>
      <c r="Q363" s="13"/>
    </row>
    <row r="364" spans="16:17" x14ac:dyDescent="0.25">
      <c r="P364" s="13"/>
      <c r="Q364" s="13"/>
    </row>
    <row r="365" spans="16:17" x14ac:dyDescent="0.25">
      <c r="P365" s="13"/>
      <c r="Q365" s="13"/>
    </row>
    <row r="366" spans="16:17" x14ac:dyDescent="0.25">
      <c r="P366" s="13"/>
      <c r="Q366" s="13"/>
    </row>
    <row r="367" spans="16:17" x14ac:dyDescent="0.25">
      <c r="P367" s="13"/>
      <c r="Q367" s="13"/>
    </row>
    <row r="368" spans="16:17" x14ac:dyDescent="0.25">
      <c r="P368" s="13"/>
      <c r="Q368" s="13"/>
    </row>
    <row r="369" spans="16:17" x14ac:dyDescent="0.25">
      <c r="P369" s="13"/>
      <c r="Q369" s="13"/>
    </row>
    <row r="370" spans="16:17" x14ac:dyDescent="0.25">
      <c r="P370" s="13"/>
      <c r="Q370" s="13"/>
    </row>
    <row r="371" spans="16:17" x14ac:dyDescent="0.25">
      <c r="P371" s="13"/>
      <c r="Q371" s="13"/>
    </row>
    <row r="372" spans="16:17" x14ac:dyDescent="0.25">
      <c r="P372" s="13"/>
      <c r="Q372" s="13"/>
    </row>
    <row r="373" spans="16:17" x14ac:dyDescent="0.25">
      <c r="P373" s="13"/>
      <c r="Q373" s="13"/>
    </row>
    <row r="374" spans="16:17" x14ac:dyDescent="0.25">
      <c r="P374" s="13"/>
      <c r="Q374" s="13"/>
    </row>
    <row r="375" spans="16:17" x14ac:dyDescent="0.25">
      <c r="P375" s="13"/>
      <c r="Q375" s="13"/>
    </row>
    <row r="376" spans="16:17" x14ac:dyDescent="0.25">
      <c r="P376" s="13"/>
      <c r="Q376" s="13"/>
    </row>
    <row r="377" spans="16:17" x14ac:dyDescent="0.25">
      <c r="P377" s="13"/>
      <c r="Q377" s="13"/>
    </row>
    <row r="378" spans="16:17" x14ac:dyDescent="0.25">
      <c r="P378" s="13"/>
      <c r="Q378" s="13"/>
    </row>
    <row r="379" spans="16:17" x14ac:dyDescent="0.25">
      <c r="P379" s="13"/>
      <c r="Q379" s="13"/>
    </row>
    <row r="380" spans="16:17" x14ac:dyDescent="0.25">
      <c r="P380" s="13"/>
      <c r="Q380" s="13"/>
    </row>
    <row r="381" spans="16:17" x14ac:dyDescent="0.25">
      <c r="P381" s="13"/>
      <c r="Q381" s="13"/>
    </row>
    <row r="382" spans="16:17" x14ac:dyDescent="0.25">
      <c r="P382" s="13"/>
      <c r="Q382" s="13"/>
    </row>
    <row r="383" spans="16:17" x14ac:dyDescent="0.25">
      <c r="P383" s="13"/>
      <c r="Q383" s="13"/>
    </row>
    <row r="384" spans="16:17" x14ac:dyDescent="0.25">
      <c r="P384" s="13"/>
      <c r="Q384" s="13"/>
    </row>
    <row r="385" spans="16:17" x14ac:dyDescent="0.25">
      <c r="P385" s="13"/>
      <c r="Q385" s="13"/>
    </row>
    <row r="386" spans="16:17" x14ac:dyDescent="0.25">
      <c r="P386" s="13"/>
      <c r="Q386" s="13"/>
    </row>
    <row r="387" spans="16:17" x14ac:dyDescent="0.25">
      <c r="P387" s="13"/>
      <c r="Q387" s="13"/>
    </row>
    <row r="388" spans="16:17" x14ac:dyDescent="0.25">
      <c r="P388" s="13"/>
      <c r="Q388" s="13"/>
    </row>
    <row r="389" spans="16:17" x14ac:dyDescent="0.25">
      <c r="P389" s="13"/>
      <c r="Q389" s="13"/>
    </row>
    <row r="390" spans="16:17" x14ac:dyDescent="0.25">
      <c r="P390" s="13"/>
      <c r="Q390" s="13"/>
    </row>
    <row r="391" spans="16:17" x14ac:dyDescent="0.25">
      <c r="P391" s="13"/>
      <c r="Q391" s="13"/>
    </row>
    <row r="392" spans="16:17" x14ac:dyDescent="0.25">
      <c r="P392" s="13"/>
      <c r="Q392" s="13"/>
    </row>
    <row r="393" spans="16:17" x14ac:dyDescent="0.25">
      <c r="P393" s="13"/>
      <c r="Q393" s="13"/>
    </row>
    <row r="394" spans="16:17" x14ac:dyDescent="0.25">
      <c r="P394" s="13"/>
      <c r="Q394" s="13"/>
    </row>
    <row r="395" spans="16:17" x14ac:dyDescent="0.25">
      <c r="P395" s="13"/>
      <c r="Q395" s="13"/>
    </row>
    <row r="396" spans="16:17" x14ac:dyDescent="0.25">
      <c r="P396" s="13"/>
      <c r="Q396" s="13"/>
    </row>
    <row r="397" spans="16:17" x14ac:dyDescent="0.25">
      <c r="P397" s="13"/>
      <c r="Q397" s="13"/>
    </row>
    <row r="398" spans="16:17" x14ac:dyDescent="0.25">
      <c r="P398" s="13"/>
      <c r="Q398" s="13"/>
    </row>
    <row r="399" spans="16:17" x14ac:dyDescent="0.25">
      <c r="P399" s="13"/>
      <c r="Q399" s="13"/>
    </row>
    <row r="400" spans="16:17" x14ac:dyDescent="0.25">
      <c r="P400" s="13"/>
      <c r="Q400" s="13"/>
    </row>
    <row r="401" spans="16:17" x14ac:dyDescent="0.25">
      <c r="P401" s="13"/>
      <c r="Q401" s="13"/>
    </row>
    <row r="402" spans="16:17" x14ac:dyDescent="0.25">
      <c r="P402" s="13"/>
      <c r="Q402" s="13"/>
    </row>
    <row r="403" spans="16:17" x14ac:dyDescent="0.25">
      <c r="P403" s="13"/>
      <c r="Q403" s="13"/>
    </row>
    <row r="404" spans="16:17" x14ac:dyDescent="0.25">
      <c r="P404" s="13"/>
      <c r="Q404" s="13"/>
    </row>
    <row r="405" spans="16:17" x14ac:dyDescent="0.25">
      <c r="P405" s="13"/>
      <c r="Q405" s="13"/>
    </row>
    <row r="406" spans="16:17" x14ac:dyDescent="0.25">
      <c r="P406" s="13"/>
      <c r="Q406" s="13"/>
    </row>
    <row r="407" spans="16:17" x14ac:dyDescent="0.25">
      <c r="P407" s="13"/>
      <c r="Q407" s="13"/>
    </row>
    <row r="408" spans="16:17" x14ac:dyDescent="0.25">
      <c r="P408" s="13"/>
      <c r="Q408" s="13"/>
    </row>
    <row r="409" spans="16:17" x14ac:dyDescent="0.25">
      <c r="P409" s="13"/>
      <c r="Q409" s="13"/>
    </row>
    <row r="410" spans="16:17" x14ac:dyDescent="0.25">
      <c r="P410" s="13"/>
      <c r="Q410" s="13"/>
    </row>
    <row r="411" spans="16:17" x14ac:dyDescent="0.25">
      <c r="P411" s="13"/>
      <c r="Q411" s="13"/>
    </row>
    <row r="412" spans="16:17" x14ac:dyDescent="0.25">
      <c r="P412" s="13"/>
      <c r="Q412" s="13"/>
    </row>
    <row r="413" spans="16:17" x14ac:dyDescent="0.25">
      <c r="P413" s="13"/>
      <c r="Q413" s="13"/>
    </row>
    <row r="414" spans="16:17" x14ac:dyDescent="0.25">
      <c r="P414" s="13"/>
      <c r="Q414" s="13"/>
    </row>
    <row r="415" spans="16:17" x14ac:dyDescent="0.25">
      <c r="P415" s="13"/>
      <c r="Q415" s="13"/>
    </row>
    <row r="416" spans="16:17" x14ac:dyDescent="0.25">
      <c r="P416" s="13"/>
      <c r="Q416" s="13"/>
    </row>
    <row r="417" spans="16:17" x14ac:dyDescent="0.25">
      <c r="P417" s="13"/>
      <c r="Q417" s="13"/>
    </row>
    <row r="418" spans="16:17" x14ac:dyDescent="0.25">
      <c r="P418" s="13"/>
      <c r="Q418" s="13"/>
    </row>
    <row r="419" spans="16:17" x14ac:dyDescent="0.25">
      <c r="P419" s="13"/>
      <c r="Q419" s="13"/>
    </row>
    <row r="420" spans="16:17" x14ac:dyDescent="0.25">
      <c r="P420" s="13"/>
      <c r="Q420" s="13"/>
    </row>
  </sheetData>
  <sortState xmlns:xlrd2="http://schemas.microsoft.com/office/spreadsheetml/2017/richdata2" ref="A17:AK25">
    <sortCondition ref="A25"/>
  </sortState>
  <mergeCells count="6">
    <mergeCell ref="A5:C5"/>
    <mergeCell ref="A1:C2"/>
    <mergeCell ref="A9:C9"/>
    <mergeCell ref="A16:C16"/>
    <mergeCell ref="AB3:AC3"/>
    <mergeCell ref="J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 kids</vt:lpstr>
      <vt:lpstr>Children female</vt:lpstr>
      <vt:lpstr>Children male</vt:lpstr>
      <vt:lpstr>Juniors female</vt:lpstr>
      <vt:lpstr>Juniors male</vt:lpstr>
      <vt:lpstr>Adults female</vt:lpstr>
      <vt:lpstr>Adults 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owner</cp:lastModifiedBy>
  <dcterms:created xsi:type="dcterms:W3CDTF">2017-05-10T12:17:38Z</dcterms:created>
  <dcterms:modified xsi:type="dcterms:W3CDTF">2025-03-26T19:57:56Z</dcterms:modified>
</cp:coreProperties>
</file>